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harts/chart8.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H:\Design Spreadsheets\"/>
    </mc:Choice>
  </mc:AlternateContent>
  <bookViews>
    <workbookView xWindow="-15" yWindow="255" windowWidth="9405" windowHeight="9975" tabRatio="768" activeTab="1"/>
  </bookViews>
  <sheets>
    <sheet name="INSTRUCTIONS" sheetId="50152" r:id="rId1"/>
    <sheet name="DESIGN CRIT" sheetId="50149" r:id="rId2"/>
    <sheet name="PILECAP WKST" sheetId="50150" r:id="rId3"/>
    <sheet name="FIGS" sheetId="50153" r:id="rId4"/>
    <sheet name="EQNS &amp; TABLES" sheetId="50154" r:id="rId5"/>
    <sheet name="EXCERPTS" sheetId="50155" r:id="rId6"/>
    <sheet name="TABUL DES" sheetId="50156" r:id="rId7"/>
  </sheets>
  <externalReferences>
    <externalReference r:id="rId8"/>
  </externalReferences>
  <definedNames>
    <definedName name="_10" localSheetId="1">'[1]Pile Cap Bending &amp; Shear Check'!$K$8:$K$15</definedName>
    <definedName name="cdim">'DESIGN CRIT'!$E$30</definedName>
    <definedName name="ct">'DESIGN CRIT'!$E$34</definedName>
    <definedName name="DropDownChoices">'DESIGN CRIT'!$M$48</definedName>
    <definedName name="e">'DESIGN CRIT'!$E$28</definedName>
    <definedName name="FC">'DESIGN CRIT'!$E$36</definedName>
    <definedName name="Fy">'DESIGN CRIT'!$E$37</definedName>
    <definedName name="L">'DESIGN CRIT'!$E$103</definedName>
    <definedName name="lf">'DESIGN CRIT'!$E$39</definedName>
    <definedName name="np">'DESIGN CRIT'!$F$45</definedName>
    <definedName name="OptionPicked">'DESIGN CRIT'!$G$45</definedName>
    <definedName name="P_12a">#REF!</definedName>
    <definedName name="_xlnm.Print_Area" localSheetId="1">'DESIGN CRIT'!$A$1:$K$438</definedName>
    <definedName name="_xlnm.Print_Area" localSheetId="0">INSTRUCTIONS!$A:$C</definedName>
    <definedName name="pt">'DESIGN CRIT'!$E$33</definedName>
    <definedName name="TableNames">'DESIGN CRIT'!$N$48</definedName>
    <definedName name="x0">'DESIGN CRIT'!$B$43</definedName>
    <definedName name="y0">'DESIGN CRIT'!$C$43</definedName>
  </definedNames>
  <calcPr calcId="152511"/>
</workbook>
</file>

<file path=xl/calcChain.xml><?xml version="1.0" encoding="utf-8"?>
<calcChain xmlns="http://schemas.openxmlformats.org/spreadsheetml/2006/main">
  <c r="D50" i="50149" l="1"/>
  <c r="D51" i="50149"/>
  <c r="D52" i="50149"/>
  <c r="D53" i="50149"/>
  <c r="D54" i="50149"/>
  <c r="D55" i="50149"/>
  <c r="D56" i="50149"/>
  <c r="D57" i="50149"/>
  <c r="D58" i="50149"/>
  <c r="D59" i="50149"/>
  <c r="D60" i="50149"/>
  <c r="D61" i="50149"/>
  <c r="D62" i="50149"/>
  <c r="D63" i="50149"/>
  <c r="D64" i="50149"/>
  <c r="D65" i="50149"/>
  <c r="D66" i="50149"/>
  <c r="D67" i="50149"/>
  <c r="D68" i="50149"/>
  <c r="D69" i="50149"/>
  <c r="D70" i="50149"/>
  <c r="D71" i="50149"/>
  <c r="D72" i="50149"/>
  <c r="D73" i="50149"/>
  <c r="D49" i="50149"/>
  <c r="E349" i="50149"/>
  <c r="E234" i="50149"/>
  <c r="B65" i="50149"/>
  <c r="B66" i="50149"/>
  <c r="C66" i="50149"/>
  <c r="B69" i="50149"/>
  <c r="C69" i="50149"/>
  <c r="C64" i="50149"/>
  <c r="C73" i="50149"/>
  <c r="C68" i="50149"/>
  <c r="C65" i="50149"/>
  <c r="C67" i="50149"/>
  <c r="C72" i="50149"/>
  <c r="B64" i="50149"/>
  <c r="C70" i="50149"/>
  <c r="B70" i="50149"/>
  <c r="B71" i="50149"/>
  <c r="C71" i="50149"/>
  <c r="B73" i="50149"/>
  <c r="B67" i="50149"/>
  <c r="B68" i="50149"/>
  <c r="B72" i="50149"/>
  <c r="BI61" i="50149" l="1"/>
  <c r="BJ61" i="50149"/>
  <c r="BI71" i="50149"/>
  <c r="BI66" i="50149"/>
  <c r="BJ63" i="50149"/>
  <c r="BJ62" i="50149"/>
  <c r="BJ60" i="50149"/>
  <c r="BJ59" i="50149"/>
  <c r="BI56" i="50149"/>
  <c r="BI51" i="50149"/>
  <c r="BG70" i="50149"/>
  <c r="BG51" i="50149"/>
  <c r="BG65" i="50149"/>
  <c r="BH62" i="50149"/>
  <c r="BH61" i="50149"/>
  <c r="BH60" i="50149"/>
  <c r="BH59" i="50149"/>
  <c r="BG56" i="50149"/>
  <c r="BF62" i="50149"/>
  <c r="BF58" i="50149"/>
  <c r="BE65" i="50149"/>
  <c r="BF61" i="50149"/>
  <c r="BF60" i="50149"/>
  <c r="BE60" i="50149"/>
  <c r="BF59" i="50149"/>
  <c r="BE55" i="50149"/>
  <c r="BD61" i="50149"/>
  <c r="BD58" i="50149"/>
  <c r="BC64" i="50149"/>
  <c r="BD60" i="50149"/>
  <c r="BD59" i="50149"/>
  <c r="BC55" i="50149"/>
  <c r="BA64" i="50149"/>
  <c r="BB60" i="50149"/>
  <c r="BB59" i="50149"/>
  <c r="BB58" i="50149"/>
  <c r="BA59" i="50149"/>
  <c r="BA54" i="50149"/>
  <c r="AY66" i="50149"/>
  <c r="AY51" i="50149"/>
  <c r="AY61" i="50149"/>
  <c r="AY56" i="50149"/>
  <c r="AW63" i="50149"/>
  <c r="AX58" i="50149"/>
  <c r="AW58" i="50149"/>
  <c r="AW53" i="50149"/>
  <c r="AV58" i="50149"/>
  <c r="AV57" i="50149"/>
  <c r="AU65" i="50149"/>
  <c r="AU60" i="50149"/>
  <c r="AU55" i="50149"/>
  <c r="AU50" i="50149"/>
  <c r="AT58" i="50149" l="1"/>
  <c r="AT56" i="50149"/>
  <c r="AT57" i="50149"/>
  <c r="AP56" i="50149"/>
  <c r="AM61" i="50149"/>
  <c r="AM50" i="50149"/>
  <c r="AL56" i="50149"/>
  <c r="AL55" i="50149"/>
  <c r="AL54" i="50149"/>
  <c r="AJ56" i="50149"/>
  <c r="AJ55" i="50149"/>
  <c r="AJ54" i="50149"/>
  <c r="AJ53" i="50149"/>
  <c r="AH55" i="50149"/>
  <c r="AH54" i="50149"/>
  <c r="AG54" i="50149"/>
  <c r="AH53" i="50149"/>
  <c r="AF55" i="50149"/>
  <c r="AF52" i="50149"/>
  <c r="AE57" i="50149"/>
  <c r="AF54" i="50149"/>
  <c r="AF53" i="50149"/>
  <c r="AE50" i="50149"/>
  <c r="AD54" i="50149"/>
  <c r="AD53" i="50149"/>
  <c r="AD52" i="50149"/>
  <c r="AC56" i="50149"/>
  <c r="AC53" i="50149"/>
  <c r="AC50" i="50149"/>
  <c r="AA55" i="50149"/>
  <c r="AB53" i="50149"/>
  <c r="AB52" i="50149"/>
  <c r="AA50" i="50149"/>
  <c r="Z53" i="50149"/>
  <c r="Z52" i="50149"/>
  <c r="Y52" i="50149"/>
  <c r="Z51" i="50149"/>
  <c r="W53" i="50149"/>
  <c r="W50" i="50149"/>
  <c r="E103" i="50149"/>
  <c r="V51" i="50149"/>
  <c r="U51" i="50149"/>
  <c r="Q51" i="50149"/>
  <c r="BI63" i="50149" l="1"/>
  <c r="BI60" i="50149"/>
  <c r="BI59" i="50149"/>
  <c r="BI62" i="50149"/>
  <c r="BJ73" i="50149"/>
  <c r="BJ69" i="50149"/>
  <c r="BJ65" i="50149"/>
  <c r="BJ56" i="50149"/>
  <c r="BJ52" i="50149"/>
  <c r="BH72" i="50149"/>
  <c r="BG69" i="50149"/>
  <c r="BG52" i="50149"/>
  <c r="BI73" i="50149"/>
  <c r="BI69" i="50149"/>
  <c r="BI65" i="50149"/>
  <c r="BI52" i="50149"/>
  <c r="BH71" i="50149"/>
  <c r="BG68" i="50149"/>
  <c r="BJ50" i="50149"/>
  <c r="BH52" i="50149"/>
  <c r="BI67" i="50149"/>
  <c r="BI58" i="50149"/>
  <c r="BI50" i="50149"/>
  <c r="BH53" i="50149"/>
  <c r="BJ66" i="50149"/>
  <c r="BJ57" i="50149"/>
  <c r="BG71" i="50149"/>
  <c r="BI57" i="50149"/>
  <c r="BI49" i="50149"/>
  <c r="BG53" i="50149"/>
  <c r="BJ72" i="50149"/>
  <c r="BJ68" i="50149"/>
  <c r="BJ64" i="50149"/>
  <c r="BJ55" i="50149"/>
  <c r="BJ51" i="50149"/>
  <c r="BH70" i="50149"/>
  <c r="BH50" i="50149"/>
  <c r="BG50" i="50149"/>
  <c r="BI72" i="50149"/>
  <c r="BI68" i="50149"/>
  <c r="BI64" i="50149"/>
  <c r="BI55" i="50149"/>
  <c r="BH69" i="50149"/>
  <c r="BH51" i="50149"/>
  <c r="BG49" i="50149"/>
  <c r="BJ71" i="50149"/>
  <c r="BJ67" i="50149"/>
  <c r="BJ58" i="50149"/>
  <c r="BJ54" i="50149"/>
  <c r="BH68" i="50149"/>
  <c r="BI54" i="50149"/>
  <c r="BG72" i="50149"/>
  <c r="BJ70" i="50149"/>
  <c r="BJ53" i="50149"/>
  <c r="BJ49" i="50149"/>
  <c r="BH49" i="50149"/>
  <c r="BI70" i="50149"/>
  <c r="BI53" i="50149"/>
  <c r="BH67" i="50149"/>
  <c r="BH63" i="50149"/>
  <c r="BH55" i="50149"/>
  <c r="BE71" i="50149"/>
  <c r="BH66" i="50149"/>
  <c r="BH58" i="50149"/>
  <c r="BH54" i="50149"/>
  <c r="BE69" i="50149"/>
  <c r="BE62" i="50149"/>
  <c r="BG66" i="50149"/>
  <c r="BG58" i="50149"/>
  <c r="BE58" i="50149"/>
  <c r="BH65" i="50149"/>
  <c r="BH57" i="50149"/>
  <c r="BF71" i="50149"/>
  <c r="BE57" i="50149"/>
  <c r="BG57" i="50149"/>
  <c r="BF63" i="50149"/>
  <c r="BH64" i="50149"/>
  <c r="BH56" i="50149"/>
  <c r="BE67" i="50149"/>
  <c r="BG64" i="50149"/>
  <c r="BE63" i="50149"/>
  <c r="BG67" i="50149"/>
  <c r="BG63" i="50149"/>
  <c r="BG59" i="50149"/>
  <c r="BG55" i="50149"/>
  <c r="BE70" i="50149"/>
  <c r="BG62" i="50149"/>
  <c r="BG54" i="50149"/>
  <c r="BE68" i="50149"/>
  <c r="BF67" i="50149"/>
  <c r="BG61" i="50149"/>
  <c r="BF70" i="50149"/>
  <c r="BF57" i="50149"/>
  <c r="BF69" i="50149"/>
  <c r="BF53" i="50149"/>
  <c r="BG60" i="50149"/>
  <c r="BF68" i="50149"/>
  <c r="BE53" i="50149"/>
  <c r="BE52" i="50149"/>
  <c r="BF51" i="50149"/>
  <c r="BF49" i="50149"/>
  <c r="BE51" i="50149"/>
  <c r="BE50" i="50149"/>
  <c r="BE49" i="50149"/>
  <c r="BF52" i="50149"/>
  <c r="BF50" i="50149"/>
  <c r="BF66" i="50149"/>
  <c r="BF54" i="50149"/>
  <c r="BC68" i="50149"/>
  <c r="BE54" i="50149"/>
  <c r="BF65" i="50149"/>
  <c r="BD70" i="50149"/>
  <c r="BD66" i="50149"/>
  <c r="BD69" i="50149"/>
  <c r="BF56" i="50149"/>
  <c r="BC66" i="50149"/>
  <c r="BE56" i="50149"/>
  <c r="BC62" i="50149"/>
  <c r="BE66" i="50149"/>
  <c r="BC67" i="50149"/>
  <c r="BE59" i="50149"/>
  <c r="BD62" i="50149"/>
  <c r="BF64" i="50149"/>
  <c r="BD68" i="50149"/>
  <c r="BE64" i="50149"/>
  <c r="BD67" i="50149"/>
  <c r="BF55" i="50149"/>
  <c r="BC70" i="50149"/>
  <c r="BE61" i="50149"/>
  <c r="BC69" i="50149"/>
  <c r="BC58" i="50149"/>
  <c r="BC61" i="50149"/>
  <c r="BC59" i="50149"/>
  <c r="BC60" i="50149"/>
  <c r="BC57" i="50149"/>
  <c r="BD57" i="50149"/>
  <c r="BD53" i="50149"/>
  <c r="BC52" i="50149"/>
  <c r="BC50" i="50149"/>
  <c r="BC53" i="50149"/>
  <c r="BD52" i="50149"/>
  <c r="BD51" i="50149"/>
  <c r="BC51" i="50149"/>
  <c r="BD50" i="50149"/>
  <c r="BD49" i="50149"/>
  <c r="BC49" i="50149"/>
  <c r="BD65" i="50149"/>
  <c r="BB69" i="50149"/>
  <c r="BB65" i="50149"/>
  <c r="BA62" i="50149"/>
  <c r="BA57" i="50149"/>
  <c r="BB53" i="50149"/>
  <c r="BB49" i="50149"/>
  <c r="AY67" i="50149"/>
  <c r="AY58" i="50149"/>
  <c r="AZ49" i="50149"/>
  <c r="BA52" i="50149"/>
  <c r="AY65" i="50149"/>
  <c r="AY52" i="50149"/>
  <c r="BA65" i="50149"/>
  <c r="BA56" i="50149"/>
  <c r="AZ67" i="50149"/>
  <c r="AY54" i="50149"/>
  <c r="AZ52" i="50149"/>
  <c r="BD54" i="50149"/>
  <c r="BA50" i="50149"/>
  <c r="AZ51" i="50149"/>
  <c r="BB61" i="50149"/>
  <c r="BB50" i="50149"/>
  <c r="BC65" i="50149"/>
  <c r="BB68" i="50149"/>
  <c r="BB64" i="50149"/>
  <c r="BA61" i="50149"/>
  <c r="BB57" i="50149"/>
  <c r="BA53" i="50149"/>
  <c r="BA49" i="50149"/>
  <c r="AZ58" i="50149"/>
  <c r="AY53" i="50149"/>
  <c r="BD64" i="50149"/>
  <c r="BD56" i="50149"/>
  <c r="BA69" i="50149"/>
  <c r="BB63" i="50149"/>
  <c r="BB56" i="50149"/>
  <c r="AZ68" i="50149"/>
  <c r="AZ54" i="50149"/>
  <c r="BC56" i="50149"/>
  <c r="BA68" i="50149"/>
  <c r="BB52" i="50149"/>
  <c r="AY64" i="50149"/>
  <c r="AY63" i="50149"/>
  <c r="BB62" i="50149"/>
  <c r="AZ64" i="50149"/>
  <c r="BA66" i="50149"/>
  <c r="AY59" i="50149"/>
  <c r="BD63" i="50149"/>
  <c r="BD55" i="50149"/>
  <c r="BB67" i="50149"/>
  <c r="BA55" i="50149"/>
  <c r="BB51" i="50149"/>
  <c r="AZ66" i="50149"/>
  <c r="AZ63" i="50149"/>
  <c r="AZ53" i="50149"/>
  <c r="AY50" i="50149"/>
  <c r="BC63" i="50149"/>
  <c r="BB66" i="50149"/>
  <c r="BA63" i="50149"/>
  <c r="BA60" i="50149"/>
  <c r="BB55" i="50149"/>
  <c r="BA51" i="50149"/>
  <c r="AZ65" i="50149"/>
  <c r="AY49" i="50149"/>
  <c r="BA67" i="50149"/>
  <c r="BB54" i="50149"/>
  <c r="AZ59" i="50149"/>
  <c r="BC54" i="50149"/>
  <c r="BA58" i="50149"/>
  <c r="AY68" i="50149"/>
  <c r="AZ50" i="50149"/>
  <c r="AZ62" i="50149"/>
  <c r="AZ56" i="50149"/>
  <c r="AX63" i="50149"/>
  <c r="AX60" i="50149"/>
  <c r="AW52" i="50149"/>
  <c r="AX55" i="50149"/>
  <c r="AV61" i="50149"/>
  <c r="AV52" i="50149"/>
  <c r="AV51" i="50149"/>
  <c r="AU59" i="50149"/>
  <c r="AV64" i="50149"/>
  <c r="AY60" i="50149"/>
  <c r="AW59" i="50149"/>
  <c r="AV55" i="50149"/>
  <c r="AX65" i="50149"/>
  <c r="AX49" i="50149"/>
  <c r="AU64" i="50149"/>
  <c r="AX56" i="50149"/>
  <c r="AW49" i="50149"/>
  <c r="AY62" i="50149"/>
  <c r="AX59" i="50149"/>
  <c r="AW51" i="50149"/>
  <c r="AX54" i="50149"/>
  <c r="AV60" i="50149"/>
  <c r="AU66" i="50149"/>
  <c r="AW54" i="50149"/>
  <c r="AX62" i="50149"/>
  <c r="AX64" i="50149"/>
  <c r="AU61" i="50149"/>
  <c r="AZ61" i="50149"/>
  <c r="AZ55" i="50149"/>
  <c r="AW67" i="50149"/>
  <c r="AW62" i="50149"/>
  <c r="AW57" i="50149"/>
  <c r="AW50" i="50149"/>
  <c r="AV66" i="50149"/>
  <c r="AV59" i="50149"/>
  <c r="AV50" i="50149"/>
  <c r="AX67" i="50149"/>
  <c r="AW55" i="50149"/>
  <c r="AV56" i="50149"/>
  <c r="AW64" i="50149"/>
  <c r="AX50" i="50149"/>
  <c r="AX53" i="50149"/>
  <c r="AV54" i="50149"/>
  <c r="AX61" i="50149"/>
  <c r="AY55" i="50149"/>
  <c r="AW66" i="50149"/>
  <c r="AW61" i="50149"/>
  <c r="AW56" i="50149"/>
  <c r="AX52" i="50149"/>
  <c r="AV65" i="50149"/>
  <c r="AV49" i="50149"/>
  <c r="AZ60" i="50149"/>
  <c r="AW65" i="50149"/>
  <c r="AW60" i="50149"/>
  <c r="AX51" i="50149"/>
  <c r="AX66" i="50149"/>
  <c r="AV63" i="50149"/>
  <c r="AZ57" i="50149"/>
  <c r="AX57" i="50149"/>
  <c r="AV62" i="50149"/>
  <c r="AY57" i="50149"/>
  <c r="AV53" i="50149"/>
  <c r="AR58" i="50149"/>
  <c r="AU58" i="50149"/>
  <c r="AU57" i="50149"/>
  <c r="AR64" i="50149"/>
  <c r="AS58" i="50149"/>
  <c r="AS56" i="50149"/>
  <c r="AF58" i="50149"/>
  <c r="AU63" i="50149"/>
  <c r="AU52" i="50149"/>
  <c r="AU51" i="50149"/>
  <c r="AU53" i="50149"/>
  <c r="AU62" i="50149"/>
  <c r="AU49" i="50149"/>
  <c r="AU54" i="50149"/>
  <c r="AU56" i="50149"/>
  <c r="AR52" i="50149"/>
  <c r="AS55" i="50149"/>
  <c r="AO62" i="50149"/>
  <c r="AQ59" i="50149"/>
  <c r="AT55" i="50149"/>
  <c r="AO63" i="50149"/>
  <c r="AR59" i="50149"/>
  <c r="AR49" i="50149"/>
  <c r="AP62" i="50149"/>
  <c r="AQ60" i="50149"/>
  <c r="AR50" i="50149"/>
  <c r="AS59" i="50149"/>
  <c r="AR54" i="50149"/>
  <c r="AT61" i="50149"/>
  <c r="AQ55" i="50149"/>
  <c r="AQ61" i="50149"/>
  <c r="AT62" i="50149"/>
  <c r="AR55" i="50149"/>
  <c r="AQ62" i="50149"/>
  <c r="AT51" i="50149"/>
  <c r="AS63" i="50149"/>
  <c r="AQ52" i="50149"/>
  <c r="AT50" i="50149"/>
  <c r="AS51" i="50149"/>
  <c r="AQ56" i="50149"/>
  <c r="AQ63" i="50149"/>
  <c r="AT52" i="50149"/>
  <c r="AT63" i="50149"/>
  <c r="AP63" i="50149"/>
  <c r="AR60" i="50149"/>
  <c r="AS49" i="50149"/>
  <c r="AT64" i="50149"/>
  <c r="AQ64" i="50149"/>
  <c r="AS53" i="50149"/>
  <c r="AS64" i="50149"/>
  <c r="AQ49" i="50149"/>
  <c r="AR57" i="50149"/>
  <c r="AQ50" i="50149"/>
  <c r="AR62" i="50149"/>
  <c r="AT49" i="50149"/>
  <c r="AS54" i="50149"/>
  <c r="AT60" i="50149"/>
  <c r="AS65" i="50149"/>
  <c r="AR56" i="50149"/>
  <c r="AR51" i="50149"/>
  <c r="AT59" i="50149"/>
  <c r="AQ53" i="50149"/>
  <c r="AQ57" i="50149"/>
  <c r="AR61" i="50149"/>
  <c r="AT53" i="50149"/>
  <c r="AS60" i="50149"/>
  <c r="AR53" i="50149"/>
  <c r="AQ54" i="50149"/>
  <c r="AQ58" i="50149"/>
  <c r="AQ51" i="50149"/>
  <c r="AR63" i="50149"/>
  <c r="AS50" i="50149"/>
  <c r="AT54" i="50149"/>
  <c r="AS61" i="50149"/>
  <c r="AT65" i="50149"/>
  <c r="AG56" i="50149"/>
  <c r="AI55" i="50149"/>
  <c r="AL60" i="50149"/>
  <c r="AN56" i="50149"/>
  <c r="S49" i="50149"/>
  <c r="AH56" i="50149"/>
  <c r="AL50" i="50149"/>
  <c r="AL61" i="50149"/>
  <c r="AM54" i="50149"/>
  <c r="AN58" i="50149"/>
  <c r="AP60" i="50149"/>
  <c r="AO54" i="50149"/>
  <c r="S51" i="50149"/>
  <c r="AH50" i="50149"/>
  <c r="AH59" i="50149"/>
  <c r="AJ57" i="50149"/>
  <c r="AK51" i="50149"/>
  <c r="AN49" i="50149"/>
  <c r="AM55" i="50149"/>
  <c r="AN55" i="50149"/>
  <c r="AP59" i="50149"/>
  <c r="AO53" i="50149"/>
  <c r="X49" i="50149"/>
  <c r="AE54" i="50149"/>
  <c r="AG59" i="50149"/>
  <c r="AJ59" i="50149"/>
  <c r="AK52" i="50149"/>
  <c r="AK57" i="50149"/>
  <c r="AN50" i="50149"/>
  <c r="AM57" i="50149"/>
  <c r="AM60" i="50149"/>
  <c r="AO59" i="50149"/>
  <c r="AP52" i="50149"/>
  <c r="Z49" i="50149"/>
  <c r="AE55" i="50149"/>
  <c r="AK49" i="50149"/>
  <c r="AO55" i="50149"/>
  <c r="AI52" i="50149"/>
  <c r="U53" i="50149"/>
  <c r="Z55" i="50149"/>
  <c r="AI49" i="50149"/>
  <c r="AI57" i="50149"/>
  <c r="AM49" i="50149"/>
  <c r="AP51" i="50149"/>
  <c r="AK53" i="50149"/>
  <c r="AP57" i="50149"/>
  <c r="AJ52" i="50149"/>
  <c r="AI53" i="50149"/>
  <c r="AI59" i="50149"/>
  <c r="AL53" i="50149"/>
  <c r="AK59" i="50149"/>
  <c r="AM51" i="50149"/>
  <c r="AN53" i="50149"/>
  <c r="AN60" i="50149"/>
  <c r="AO49" i="50149"/>
  <c r="AD55" i="50149"/>
  <c r="AI51" i="50149"/>
  <c r="AM53" i="50149"/>
  <c r="AO61" i="50149"/>
  <c r="AI56" i="50149"/>
  <c r="X51" i="50149"/>
  <c r="AL52" i="50149"/>
  <c r="AK58" i="50149"/>
  <c r="AM59" i="50149"/>
  <c r="AP58" i="50149"/>
  <c r="V53" i="50149"/>
  <c r="AE56" i="50149"/>
  <c r="AJ50" i="50149"/>
  <c r="AI58" i="50149"/>
  <c r="AL57" i="50149"/>
  <c r="AN52" i="50149"/>
  <c r="AM62" i="50149"/>
  <c r="AO51" i="50149"/>
  <c r="W51" i="50149"/>
  <c r="AA53" i="50149"/>
  <c r="W54" i="50149"/>
  <c r="AH52" i="50149"/>
  <c r="AI50" i="50149"/>
  <c r="AI54" i="50149"/>
  <c r="AI60" i="50149"/>
  <c r="AK56" i="50149"/>
  <c r="AL59" i="50149"/>
  <c r="AM52" i="50149"/>
  <c r="AN54" i="50149"/>
  <c r="AN62" i="50149"/>
  <c r="AP55" i="50149"/>
  <c r="AO50" i="50149"/>
  <c r="AG52" i="50149"/>
  <c r="AJ49" i="50149"/>
  <c r="AJ58" i="50149"/>
  <c r="AL49" i="50149"/>
  <c r="AK54" i="50149"/>
  <c r="AL58" i="50149"/>
  <c r="AN51" i="50149"/>
  <c r="AM56" i="50149"/>
  <c r="AN57" i="50149"/>
  <c r="AN61" i="50149"/>
  <c r="AO58" i="50149"/>
  <c r="AP54" i="50149"/>
  <c r="AP49" i="50149"/>
  <c r="S50" i="50149"/>
  <c r="AG58" i="50149"/>
  <c r="AJ51" i="50149"/>
  <c r="AJ60" i="50149"/>
  <c r="AL51" i="50149"/>
  <c r="AK61" i="50149"/>
  <c r="AM58" i="50149"/>
  <c r="AN59" i="50149"/>
  <c r="AP61" i="50149"/>
  <c r="AO57" i="50149"/>
  <c r="AP53" i="50149"/>
  <c r="AP50" i="50149"/>
  <c r="X50" i="50149"/>
  <c r="AB54" i="50149"/>
  <c r="AG55" i="50149"/>
  <c r="AC51" i="50149"/>
  <c r="AG49" i="50149"/>
  <c r="AB50" i="50149"/>
  <c r="Q50" i="50149"/>
  <c r="AD50" i="50149"/>
  <c r="AG50" i="50149"/>
  <c r="AH49" i="50149"/>
  <c r="Y53" i="50149"/>
  <c r="AD51" i="50149"/>
  <c r="AG51" i="50149"/>
  <c r="T52" i="50149"/>
  <c r="Y49" i="50149"/>
  <c r="AF49" i="50149"/>
  <c r="AH51" i="50149"/>
  <c r="AH57" i="50149"/>
  <c r="T51" i="50149"/>
  <c r="AE49" i="50149"/>
  <c r="AF56" i="50149"/>
  <c r="AG57" i="50149"/>
  <c r="O49" i="50149"/>
  <c r="O50" i="50149"/>
  <c r="R49" i="50149"/>
  <c r="Y50" i="50149"/>
  <c r="Y55" i="50149"/>
  <c r="AA54" i="50149"/>
  <c r="AF57" i="50149"/>
  <c r="AG53" i="50149"/>
  <c r="V52" i="50149"/>
  <c r="Q49" i="50149"/>
  <c r="R51" i="50149"/>
  <c r="Y51" i="50149"/>
  <c r="Y54" i="50149"/>
  <c r="AC57" i="50149"/>
  <c r="AF50" i="50149"/>
  <c r="AH58" i="50149"/>
  <c r="T50" i="50149"/>
  <c r="X52" i="50149"/>
  <c r="AB51" i="50149"/>
  <c r="AA56" i="50149"/>
  <c r="AA51" i="50149"/>
  <c r="AB56" i="50149"/>
  <c r="AF51" i="50149"/>
  <c r="AE52" i="50149"/>
  <c r="R50" i="50149"/>
  <c r="W49" i="50149"/>
  <c r="Z50" i="50149"/>
  <c r="Z54" i="50149"/>
  <c r="AA52" i="50149"/>
  <c r="AB55" i="50149"/>
  <c r="AC52" i="50149"/>
  <c r="AE51" i="50149"/>
  <c r="S52" i="50149"/>
  <c r="X54" i="50149"/>
  <c r="W52" i="50149"/>
  <c r="AA49" i="50149"/>
  <c r="AC49" i="50149"/>
  <c r="AC54" i="50149"/>
  <c r="AD56" i="50149"/>
  <c r="AE53" i="50149"/>
  <c r="AE58" i="50149"/>
  <c r="T49" i="50149"/>
  <c r="X53" i="50149"/>
  <c r="AB49" i="50149"/>
  <c r="AD49" i="50149"/>
  <c r="AC55" i="50149"/>
  <c r="AD57" i="50149"/>
  <c r="P50" i="50149"/>
  <c r="P49" i="50149"/>
  <c r="C53" i="50149"/>
  <c r="C61" i="50149"/>
  <c r="C52" i="50149"/>
  <c r="B52" i="50149"/>
  <c r="B58" i="50149"/>
  <c r="B60" i="50149"/>
  <c r="B49" i="50149"/>
  <c r="C58" i="50149"/>
  <c r="C50" i="50149"/>
  <c r="B59" i="50149"/>
  <c r="C62" i="50149"/>
  <c r="B55" i="50149"/>
  <c r="C51" i="50149"/>
  <c r="C59" i="50149"/>
  <c r="B63" i="50149"/>
  <c r="C56" i="50149"/>
  <c r="B62" i="50149"/>
  <c r="C60" i="50149"/>
  <c r="B50" i="50149"/>
  <c r="B51" i="50149"/>
  <c r="C54" i="50149"/>
  <c r="B54" i="50149"/>
  <c r="C63" i="50149"/>
  <c r="B61" i="50149"/>
  <c r="C57" i="50149"/>
  <c r="B56" i="50149"/>
  <c r="B53" i="50149"/>
  <c r="C49" i="50149"/>
  <c r="B57" i="50149"/>
  <c r="C55" i="50149"/>
  <c r="E288" i="50149" l="1"/>
  <c r="E210" i="50149"/>
  <c r="E264" i="50149"/>
  <c r="D74" i="50149" l="1"/>
  <c r="E149" i="50149"/>
  <c r="E383" i="50149"/>
  <c r="E357" i="50149"/>
  <c r="E102" i="50149"/>
  <c r="G102" i="50149" s="1"/>
  <c r="E344" i="50149"/>
  <c r="E348" i="50149" s="1"/>
  <c r="F403" i="50149"/>
  <c r="E397" i="50149"/>
  <c r="E151" i="50149"/>
  <c r="D75" i="50149" a="1"/>
  <c r="D75" i="50149" s="1"/>
  <c r="E414" i="50149" s="1"/>
  <c r="G79" i="50150" l="1"/>
  <c r="E310" i="50149"/>
  <c r="U50" i="50149"/>
  <c r="V50" i="50149"/>
  <c r="U52" i="50149"/>
  <c r="V49" i="50149"/>
  <c r="U49" i="50149"/>
  <c r="E265" i="50149"/>
  <c r="E211" i="50149"/>
  <c r="E319" i="50149"/>
  <c r="E312" i="50149"/>
  <c r="E298" i="50149"/>
  <c r="E305" i="50149"/>
  <c r="E382" i="50149"/>
  <c r="E391" i="50149" l="1"/>
  <c r="G27" i="50149" l="1"/>
  <c r="E174" i="50149" l="1"/>
  <c r="L97" i="50150" l="1"/>
  <c r="L98" i="50150" s="1"/>
  <c r="K91" i="50150"/>
  <c r="K92" i="50150" s="1"/>
  <c r="H88" i="50150"/>
  <c r="G88" i="50150"/>
  <c r="A59" i="50150"/>
  <c r="C59" i="50150" s="1"/>
  <c r="A58" i="50150"/>
  <c r="B58" i="50150" s="1"/>
  <c r="A57" i="50150"/>
  <c r="C57" i="50150" s="1"/>
  <c r="A56" i="50150"/>
  <c r="C56" i="50150" s="1"/>
  <c r="A55" i="50150"/>
  <c r="C55" i="50150" s="1"/>
  <c r="A54" i="50150"/>
  <c r="B54" i="50150" s="1"/>
  <c r="A53" i="50150"/>
  <c r="C53" i="50150" s="1"/>
  <c r="A52" i="50150"/>
  <c r="C52" i="50150" s="1"/>
  <c r="A51" i="50150"/>
  <c r="C51" i="50150" s="1"/>
  <c r="A50" i="50150"/>
  <c r="B50" i="50150" s="1"/>
  <c r="A49" i="50150"/>
  <c r="A48" i="50150"/>
  <c r="A47" i="50150"/>
  <c r="A46" i="50150"/>
  <c r="A45" i="50150"/>
  <c r="A44" i="50150"/>
  <c r="B44" i="50150" s="1"/>
  <c r="A43" i="50150"/>
  <c r="A42" i="50150"/>
  <c r="A41" i="50150"/>
  <c r="A40" i="50150"/>
  <c r="A39" i="50150"/>
  <c r="A38" i="50150"/>
  <c r="A37" i="50150"/>
  <c r="A36" i="50150"/>
  <c r="A35" i="50150"/>
  <c r="B35" i="50150" s="1"/>
  <c r="Q29" i="50150"/>
  <c r="M29" i="50150"/>
  <c r="D32" i="50150" l="1" a="1"/>
  <c r="Y32" i="50150" s="1"/>
  <c r="C50" i="50150"/>
  <c r="B53" i="50150"/>
  <c r="C54" i="50150"/>
  <c r="B57" i="50150"/>
  <c r="C58" i="50150"/>
  <c r="B52" i="50150"/>
  <c r="B56" i="50150"/>
  <c r="B51" i="50150"/>
  <c r="B55" i="50150"/>
  <c r="B59" i="50150"/>
  <c r="C35" i="50150"/>
  <c r="C36" i="50150"/>
  <c r="C37" i="50150"/>
  <c r="C38" i="50150"/>
  <c r="C39" i="50150"/>
  <c r="C40" i="50150"/>
  <c r="C41" i="50150"/>
  <c r="C42" i="50150"/>
  <c r="C43" i="50150"/>
  <c r="C44" i="50150"/>
  <c r="C46" i="50150"/>
  <c r="B46" i="50150"/>
  <c r="C45" i="50150"/>
  <c r="B45" i="50150"/>
  <c r="B36" i="50150"/>
  <c r="B37" i="50150"/>
  <c r="B38" i="50150"/>
  <c r="B39" i="50150"/>
  <c r="B40" i="50150"/>
  <c r="B41" i="50150"/>
  <c r="B42" i="50150"/>
  <c r="B43" i="50150"/>
  <c r="C47" i="50150"/>
  <c r="B47" i="50150"/>
  <c r="B48" i="50150"/>
  <c r="B49" i="50150"/>
  <c r="C48" i="50150"/>
  <c r="C49" i="50150"/>
  <c r="G90" i="50150"/>
  <c r="G91" i="50150" s="1"/>
  <c r="G89" i="50150"/>
  <c r="G92" i="50150"/>
  <c r="H89" i="50150"/>
  <c r="H90" i="50150" s="1"/>
  <c r="H91" i="50150"/>
  <c r="H92" i="50150"/>
  <c r="E401" i="50149"/>
  <c r="D401" i="50149"/>
  <c r="F404" i="50149"/>
  <c r="L32" i="50150" l="1"/>
  <c r="AB32" i="50150"/>
  <c r="M32" i="50150"/>
  <c r="Q32" i="50150"/>
  <c r="P32" i="50150"/>
  <c r="Z32" i="50150"/>
  <c r="V32" i="50150"/>
  <c r="I32" i="50150"/>
  <c r="X32" i="50150"/>
  <c r="H32" i="50150"/>
  <c r="R32" i="50150"/>
  <c r="U32" i="50150"/>
  <c r="E32" i="50150"/>
  <c r="T32" i="50150"/>
  <c r="N32" i="50150"/>
  <c r="W32" i="50150"/>
  <c r="G32" i="50150"/>
  <c r="K32" i="50150"/>
  <c r="S32" i="50150"/>
  <c r="AA32" i="50150"/>
  <c r="D32" i="50150"/>
  <c r="O32" i="50150"/>
  <c r="J32" i="50150"/>
  <c r="F32" i="50150"/>
  <c r="H93" i="50150"/>
  <c r="L80" i="50150"/>
  <c r="L92" i="50150" s="1"/>
  <c r="L79" i="50150"/>
  <c r="L91" i="50150" s="1"/>
  <c r="H66" i="50150"/>
  <c r="B66" i="50150"/>
  <c r="B68" i="50150" s="1"/>
  <c r="H67" i="50150"/>
  <c r="H68" i="50150" s="1"/>
  <c r="K86" i="50150"/>
  <c r="K98" i="50150" s="1"/>
  <c r="G66" i="50150"/>
  <c r="K85" i="50150"/>
  <c r="G68" i="50150"/>
  <c r="G69" i="50150" s="1"/>
  <c r="B65" i="50150"/>
  <c r="B67" i="50150" s="1"/>
  <c r="C29" i="50150" s="1"/>
  <c r="E29" i="50150" s="1"/>
  <c r="D33" i="50150" a="1"/>
  <c r="G93" i="50150"/>
  <c r="G29" i="50150" l="1"/>
  <c r="B28" i="50150"/>
  <c r="D28" i="50150" s="1"/>
  <c r="B29" i="50150"/>
  <c r="H5" i="50150"/>
  <c r="C21" i="50150"/>
  <c r="E21" i="50150" s="1"/>
  <c r="G28" i="50150"/>
  <c r="C28" i="50150"/>
  <c r="E28" i="50150" s="1"/>
  <c r="G27" i="50150"/>
  <c r="G26" i="50150"/>
  <c r="C25" i="50150"/>
  <c r="E25" i="50150" s="1"/>
  <c r="B24" i="50150"/>
  <c r="D24" i="50150" s="1"/>
  <c r="H26" i="50150"/>
  <c r="O264" i="50149" s="1"/>
  <c r="H25" i="50150"/>
  <c r="B27" i="50150"/>
  <c r="B26" i="50150"/>
  <c r="H27" i="50150"/>
  <c r="O265" i="50149" s="1"/>
  <c r="B25" i="50150"/>
  <c r="C26" i="50150"/>
  <c r="E26" i="50150" s="1"/>
  <c r="G25" i="50150"/>
  <c r="C27" i="50150"/>
  <c r="E27" i="50150" s="1"/>
  <c r="H28" i="50150"/>
  <c r="C23" i="50150"/>
  <c r="E23" i="50150" s="1"/>
  <c r="G21" i="50150"/>
  <c r="C22" i="50150"/>
  <c r="E22" i="50150" s="1"/>
  <c r="G23" i="50150"/>
  <c r="C19" i="50150"/>
  <c r="E19" i="50150" s="1"/>
  <c r="G24" i="50150"/>
  <c r="C24" i="50150"/>
  <c r="E24" i="50150" s="1"/>
  <c r="B8" i="50150"/>
  <c r="D8" i="50150" s="1"/>
  <c r="H22" i="50150"/>
  <c r="B23" i="50150"/>
  <c r="H21" i="50150"/>
  <c r="B22" i="50150"/>
  <c r="H23" i="50150"/>
  <c r="B21" i="50150"/>
  <c r="G22" i="50150"/>
  <c r="H24" i="50150"/>
  <c r="B20" i="50150"/>
  <c r="H17" i="50150"/>
  <c r="B19" i="50150"/>
  <c r="C18" i="50150"/>
  <c r="E18" i="50150" s="1"/>
  <c r="B18" i="50150"/>
  <c r="G17" i="50150"/>
  <c r="G13" i="50150"/>
  <c r="G20" i="50150"/>
  <c r="C20" i="50150"/>
  <c r="E20" i="50150" s="1"/>
  <c r="H18" i="50150"/>
  <c r="C17" i="50150"/>
  <c r="E17" i="50150" s="1"/>
  <c r="G19" i="50150"/>
  <c r="H20" i="50150"/>
  <c r="B17" i="50150"/>
  <c r="H19" i="50150"/>
  <c r="G18" i="50150"/>
  <c r="C16" i="50150"/>
  <c r="E16" i="50150" s="1"/>
  <c r="H15" i="50150"/>
  <c r="G16" i="50150"/>
  <c r="B15" i="50150"/>
  <c r="C15" i="50150"/>
  <c r="E15" i="50150" s="1"/>
  <c r="H16" i="50150"/>
  <c r="G15" i="50150"/>
  <c r="B16" i="50150"/>
  <c r="C12" i="50150"/>
  <c r="E12" i="50150" s="1"/>
  <c r="G12" i="50150"/>
  <c r="B13" i="50150"/>
  <c r="B14" i="50150"/>
  <c r="H13" i="50150"/>
  <c r="H14" i="50150"/>
  <c r="G11" i="50150"/>
  <c r="G14" i="50150"/>
  <c r="C14" i="50150"/>
  <c r="E14" i="50150" s="1"/>
  <c r="C13" i="50150"/>
  <c r="E13" i="50150" s="1"/>
  <c r="H7" i="50150"/>
  <c r="H11" i="50150"/>
  <c r="H10" i="50150"/>
  <c r="B11" i="50150"/>
  <c r="B10" i="50150"/>
  <c r="D10" i="50150" s="1"/>
  <c r="C10" i="50150"/>
  <c r="E10" i="50150" s="1"/>
  <c r="G10" i="50150"/>
  <c r="G8" i="50150"/>
  <c r="B7" i="50150"/>
  <c r="C6" i="50150"/>
  <c r="E6" i="50150" s="1"/>
  <c r="G6" i="50150"/>
  <c r="H6" i="50150"/>
  <c r="C8" i="50150"/>
  <c r="E8" i="50150" s="1"/>
  <c r="B6" i="50150"/>
  <c r="D6" i="50150" s="1"/>
  <c r="Z34" i="50150"/>
  <c r="V34" i="50150"/>
  <c r="R34" i="50150"/>
  <c r="N34" i="50150"/>
  <c r="J34" i="50150"/>
  <c r="F34" i="50150"/>
  <c r="AA33" i="50150"/>
  <c r="W33" i="50150"/>
  <c r="S33" i="50150"/>
  <c r="O33" i="50150"/>
  <c r="K33" i="50150"/>
  <c r="G33" i="50150"/>
  <c r="D33" i="50150"/>
  <c r="Y34" i="50150"/>
  <c r="U34" i="50150"/>
  <c r="Q34" i="50150"/>
  <c r="M34" i="50150"/>
  <c r="I34" i="50150"/>
  <c r="E34" i="50150"/>
  <c r="Z33" i="50150"/>
  <c r="V33" i="50150"/>
  <c r="R33" i="50150"/>
  <c r="N33" i="50150"/>
  <c r="J33" i="50150"/>
  <c r="F33" i="50150"/>
  <c r="AA34" i="50150"/>
  <c r="W34" i="50150"/>
  <c r="S34" i="50150"/>
  <c r="O34" i="50150"/>
  <c r="K34" i="50150"/>
  <c r="G34" i="50150"/>
  <c r="AB33" i="50150"/>
  <c r="X33" i="50150"/>
  <c r="T33" i="50150"/>
  <c r="P33" i="50150"/>
  <c r="L33" i="50150"/>
  <c r="H33" i="50150"/>
  <c r="P34" i="50150"/>
  <c r="Y33" i="50150"/>
  <c r="I33" i="50150"/>
  <c r="AB34" i="50150"/>
  <c r="L34" i="50150"/>
  <c r="U33" i="50150"/>
  <c r="E33" i="50150"/>
  <c r="X34" i="50150"/>
  <c r="H34" i="50150"/>
  <c r="Q33" i="50150"/>
  <c r="T34" i="50150"/>
  <c r="D34" i="50150"/>
  <c r="M33" i="50150"/>
  <c r="C9" i="50150"/>
  <c r="E9" i="50150" s="1"/>
  <c r="L116" i="50150"/>
  <c r="L111" i="50150"/>
  <c r="L112" i="50150" s="1"/>
  <c r="L106" i="50150"/>
  <c r="H8" i="50150"/>
  <c r="G67" i="50150"/>
  <c r="G70" i="50150"/>
  <c r="G9" i="50150"/>
  <c r="L117" i="50150"/>
  <c r="L107" i="50150"/>
  <c r="B12" i="50150"/>
  <c r="G5" i="50150"/>
  <c r="K112" i="50150"/>
  <c r="K103" i="50150"/>
  <c r="C7" i="50150"/>
  <c r="E7" i="50150" s="1"/>
  <c r="B5" i="50150"/>
  <c r="B9" i="50150"/>
  <c r="C11" i="50150"/>
  <c r="E11" i="50150" s="1"/>
  <c r="H12" i="50150"/>
  <c r="C5" i="50150"/>
  <c r="E5" i="50150" s="1"/>
  <c r="K116" i="50150"/>
  <c r="K117" i="50150" s="1"/>
  <c r="K97" i="50150"/>
  <c r="G7" i="50150"/>
  <c r="H70" i="50150"/>
  <c r="H69" i="50150"/>
  <c r="H9" i="50150"/>
  <c r="R29" i="50150" l="1"/>
  <c r="F29" i="50150"/>
  <c r="D29" i="50150"/>
  <c r="N29" i="50150"/>
  <c r="L29" i="50150"/>
  <c r="P29" i="50150"/>
  <c r="K29" i="50150"/>
  <c r="J29" i="50150"/>
  <c r="O29" i="50150"/>
  <c r="O58" i="50150"/>
  <c r="X45" i="50150"/>
  <c r="S58" i="50150"/>
  <c r="D57" i="50150"/>
  <c r="J58" i="50150"/>
  <c r="D56" i="50150"/>
  <c r="F59" i="50150"/>
  <c r="AA40" i="50150"/>
  <c r="K57" i="50150"/>
  <c r="D58" i="50150"/>
  <c r="Q55" i="50150"/>
  <c r="G59" i="50150"/>
  <c r="U56" i="50150"/>
  <c r="K56" i="50150"/>
  <c r="AA48" i="50150"/>
  <c r="F28" i="50150"/>
  <c r="F55" i="50150"/>
  <c r="S59" i="50150"/>
  <c r="P16" i="50150"/>
  <c r="O16" i="50150"/>
  <c r="T16" i="50150"/>
  <c r="L16" i="50150"/>
  <c r="S16" i="50150"/>
  <c r="K16" i="50150"/>
  <c r="V8" i="50150"/>
  <c r="Q8" i="50150"/>
  <c r="N8" i="50150"/>
  <c r="U8" i="50150"/>
  <c r="R8" i="50150"/>
  <c r="M8" i="50150"/>
  <c r="O12" i="50150"/>
  <c r="S12" i="50150"/>
  <c r="P12" i="50150"/>
  <c r="K12" i="50150"/>
  <c r="T12" i="50150"/>
  <c r="L12" i="50150"/>
  <c r="M15" i="50150"/>
  <c r="V15" i="50150"/>
  <c r="Q15" i="50150"/>
  <c r="N15" i="50150"/>
  <c r="U15" i="50150"/>
  <c r="R15" i="50150"/>
  <c r="L5" i="50150"/>
  <c r="S5" i="50150"/>
  <c r="O5" i="50150"/>
  <c r="K5" i="50150"/>
  <c r="T5" i="50150"/>
  <c r="P5" i="50150"/>
  <c r="V6" i="50150"/>
  <c r="Q6" i="50150"/>
  <c r="N6" i="50150"/>
  <c r="U6" i="50150"/>
  <c r="R6" i="50150"/>
  <c r="M6" i="50150"/>
  <c r="O10" i="50150"/>
  <c r="P10" i="50150"/>
  <c r="T10" i="50150"/>
  <c r="L10" i="50150"/>
  <c r="K10" i="50150"/>
  <c r="S10" i="50150"/>
  <c r="T15" i="50150"/>
  <c r="L15" i="50150"/>
  <c r="S15" i="50150"/>
  <c r="O15" i="50150"/>
  <c r="P15" i="50150"/>
  <c r="K15" i="50150"/>
  <c r="N16" i="50150"/>
  <c r="M16" i="50150"/>
  <c r="V16" i="50150"/>
  <c r="Q16" i="50150"/>
  <c r="R16" i="50150"/>
  <c r="U16" i="50150"/>
  <c r="R7" i="50150"/>
  <c r="V7" i="50150"/>
  <c r="Q7" i="50150"/>
  <c r="N7" i="50150"/>
  <c r="U7" i="50150"/>
  <c r="M7" i="50150"/>
  <c r="K9" i="50150"/>
  <c r="T9" i="50150"/>
  <c r="L9" i="50150"/>
  <c r="S9" i="50150"/>
  <c r="P9" i="50150"/>
  <c r="O9" i="50150"/>
  <c r="K8" i="50150"/>
  <c r="T8" i="50150"/>
  <c r="L8" i="50150"/>
  <c r="S8" i="50150"/>
  <c r="O8" i="50150"/>
  <c r="P8" i="50150"/>
  <c r="U10" i="50150"/>
  <c r="R10" i="50150"/>
  <c r="M10" i="50150"/>
  <c r="V10" i="50150"/>
  <c r="Q10" i="50150"/>
  <c r="N10" i="50150"/>
  <c r="U13" i="50150"/>
  <c r="M13" i="50150"/>
  <c r="Q13" i="50150"/>
  <c r="R13" i="50150"/>
  <c r="V13" i="50150"/>
  <c r="N13" i="50150"/>
  <c r="R12" i="50150"/>
  <c r="V12" i="50150"/>
  <c r="Q12" i="50150"/>
  <c r="U12" i="50150"/>
  <c r="M12" i="50150"/>
  <c r="N12" i="50150"/>
  <c r="S6" i="50150"/>
  <c r="P6" i="50150"/>
  <c r="K6" i="50150"/>
  <c r="L6" i="50150"/>
  <c r="O6" i="50150"/>
  <c r="T6" i="50150"/>
  <c r="S14" i="50150"/>
  <c r="P14" i="50150"/>
  <c r="K14" i="50150"/>
  <c r="T14" i="50150"/>
  <c r="L14" i="50150"/>
  <c r="O14" i="50150"/>
  <c r="V9" i="50150"/>
  <c r="Q9" i="50150"/>
  <c r="U9" i="50150"/>
  <c r="N9" i="50150"/>
  <c r="R9" i="50150"/>
  <c r="M9" i="50150"/>
  <c r="P11" i="50150"/>
  <c r="K11" i="50150"/>
  <c r="O11" i="50150"/>
  <c r="S11" i="50150"/>
  <c r="T11" i="50150"/>
  <c r="L11" i="50150"/>
  <c r="P13" i="50150"/>
  <c r="O13" i="50150"/>
  <c r="T13" i="50150"/>
  <c r="S13" i="50150"/>
  <c r="K13" i="50150"/>
  <c r="L13" i="50150"/>
  <c r="V14" i="50150"/>
  <c r="Q14" i="50150"/>
  <c r="N14" i="50150"/>
  <c r="U14" i="50150"/>
  <c r="R14" i="50150"/>
  <c r="M14" i="50150"/>
  <c r="T7" i="50150"/>
  <c r="L7" i="50150"/>
  <c r="O7" i="50150"/>
  <c r="S7" i="50150"/>
  <c r="P7" i="50150"/>
  <c r="K7" i="50150"/>
  <c r="U11" i="50150"/>
  <c r="R11" i="50150"/>
  <c r="M11" i="50150"/>
  <c r="N11" i="50150"/>
  <c r="V11" i="50150"/>
  <c r="Q11" i="50150"/>
  <c r="V5" i="50150"/>
  <c r="Q5" i="50150"/>
  <c r="N5" i="50150"/>
  <c r="M5" i="50150"/>
  <c r="U5" i="50150"/>
  <c r="R5" i="50150"/>
  <c r="E202" i="50149" a="1"/>
  <c r="E202" i="50149" s="1"/>
  <c r="O260" i="50149"/>
  <c r="O262" i="50149"/>
  <c r="O259" i="50149"/>
  <c r="N28" i="50150"/>
  <c r="O266" i="50149"/>
  <c r="O263" i="50149"/>
  <c r="O258" i="50149"/>
  <c r="O261" i="50149"/>
  <c r="E256" i="50149" a="1"/>
  <c r="E256" i="50149" s="1"/>
  <c r="E358" i="50149"/>
  <c r="R28" i="50150"/>
  <c r="N24" i="50150"/>
  <c r="M55" i="50150"/>
  <c r="M57" i="50150"/>
  <c r="M59" i="50150"/>
  <c r="M58" i="50150"/>
  <c r="R56" i="50150"/>
  <c r="R55" i="50150"/>
  <c r="R57" i="50150"/>
  <c r="R59" i="50150"/>
  <c r="R58" i="50150"/>
  <c r="O55" i="50150"/>
  <c r="E56" i="50150"/>
  <c r="I56" i="50150"/>
  <c r="I59" i="50150"/>
  <c r="I55" i="50150"/>
  <c r="L56" i="50150"/>
  <c r="L59" i="50150"/>
  <c r="L55" i="50150"/>
  <c r="L58" i="50150"/>
  <c r="L57" i="50150"/>
  <c r="AB43" i="50150"/>
  <c r="AB48" i="50150"/>
  <c r="AB58" i="50150"/>
  <c r="AB54" i="50150"/>
  <c r="AB50" i="50150"/>
  <c r="AB39" i="50150"/>
  <c r="AB35" i="50150"/>
  <c r="AB57" i="50150"/>
  <c r="AB53" i="50150"/>
  <c r="AB42" i="50150"/>
  <c r="AB38" i="50150"/>
  <c r="AB47" i="50150"/>
  <c r="AB56" i="50150"/>
  <c r="AB51" i="50150"/>
  <c r="AB41" i="50150"/>
  <c r="AB37" i="50150"/>
  <c r="AB45" i="50150"/>
  <c r="AB49" i="50150"/>
  <c r="AB59" i="50150"/>
  <c r="AB55" i="50150"/>
  <c r="AB52" i="50150"/>
  <c r="AB40" i="50150"/>
  <c r="AB36" i="50150"/>
  <c r="AB44" i="50150"/>
  <c r="AB46" i="50150"/>
  <c r="Z36" i="50150"/>
  <c r="Z56" i="50150"/>
  <c r="Z57" i="50150"/>
  <c r="Z51" i="50150"/>
  <c r="Z40" i="50150"/>
  <c r="Z35" i="50150"/>
  <c r="Z54" i="50150"/>
  <c r="Z52" i="50150"/>
  <c r="Z55" i="50150"/>
  <c r="Z42" i="50150"/>
  <c r="Z38" i="50150"/>
  <c r="Z39" i="50150"/>
  <c r="Z59" i="50150"/>
  <c r="Z50" i="50150"/>
  <c r="Z53" i="50150"/>
  <c r="Z37" i="50150"/>
  <c r="Z58" i="50150"/>
  <c r="W57" i="50150"/>
  <c r="W56" i="50150"/>
  <c r="J57" i="50150"/>
  <c r="K58" i="50150"/>
  <c r="D59" i="50150"/>
  <c r="S56" i="50150"/>
  <c r="O57" i="50150"/>
  <c r="O59" i="50150"/>
  <c r="AA46" i="50150"/>
  <c r="AA54" i="50150"/>
  <c r="AA38" i="50150"/>
  <c r="AA41" i="50150"/>
  <c r="AA47" i="50150"/>
  <c r="AA36" i="50150"/>
  <c r="G57" i="50150"/>
  <c r="F58" i="50150"/>
  <c r="U58" i="50150"/>
  <c r="X47" i="50150"/>
  <c r="E58" i="50150"/>
  <c r="Z48" i="50150"/>
  <c r="Z41" i="50150"/>
  <c r="M56" i="50150"/>
  <c r="R26" i="50150"/>
  <c r="D26" i="50150"/>
  <c r="F26" i="50150"/>
  <c r="P26" i="50150"/>
  <c r="L26" i="50150"/>
  <c r="N26" i="50150"/>
  <c r="J28" i="50150"/>
  <c r="O28" i="50150"/>
  <c r="I28" i="50150"/>
  <c r="K28" i="50150"/>
  <c r="T57" i="50150"/>
  <c r="T56" i="50150"/>
  <c r="T59" i="50150"/>
  <c r="T55" i="50150"/>
  <c r="T58" i="50150"/>
  <c r="Q58" i="50150"/>
  <c r="Q56" i="50150"/>
  <c r="Q57" i="50150"/>
  <c r="Q59" i="50150"/>
  <c r="Y44" i="50150"/>
  <c r="Y58" i="50150"/>
  <c r="Y46" i="50150"/>
  <c r="Y57" i="50150"/>
  <c r="Y36" i="50150"/>
  <c r="Y59" i="50150"/>
  <c r="Y47" i="50150"/>
  <c r="Y38" i="50150"/>
  <c r="Y43" i="50150"/>
  <c r="Y45" i="50150"/>
  <c r="Y49" i="50150"/>
  <c r="Y50" i="50150"/>
  <c r="Y39" i="50150"/>
  <c r="Y51" i="50150"/>
  <c r="Y55" i="50150"/>
  <c r="Y54" i="50150"/>
  <c r="Y41" i="50150"/>
  <c r="Y53" i="50150"/>
  <c r="Y35" i="50150"/>
  <c r="Y42" i="50150"/>
  <c r="Y56" i="50150"/>
  <c r="Y37" i="50150"/>
  <c r="Y52" i="50150"/>
  <c r="Y40" i="50150"/>
  <c r="Y48" i="50150"/>
  <c r="P55" i="50150"/>
  <c r="P58" i="50150"/>
  <c r="P57" i="50150"/>
  <c r="P56" i="50150"/>
  <c r="P59" i="50150"/>
  <c r="N55" i="50150"/>
  <c r="N56" i="50150"/>
  <c r="N59" i="50150"/>
  <c r="N58" i="50150"/>
  <c r="N57" i="50150"/>
  <c r="J59" i="50150"/>
  <c r="K55" i="50150"/>
  <c r="K59" i="50150"/>
  <c r="D55" i="50150"/>
  <c r="S55" i="50150"/>
  <c r="O56" i="50150"/>
  <c r="J55" i="50150"/>
  <c r="AA39" i="50150"/>
  <c r="AA58" i="50150"/>
  <c r="AA51" i="50150"/>
  <c r="AA37" i="50150"/>
  <c r="AA43" i="50150"/>
  <c r="AA55" i="50150"/>
  <c r="G55" i="50150"/>
  <c r="W59" i="50150"/>
  <c r="U55" i="50150"/>
  <c r="X49" i="50150"/>
  <c r="E57" i="50150"/>
  <c r="Z43" i="50150"/>
  <c r="J56" i="50150"/>
  <c r="Z49" i="50150"/>
  <c r="R27" i="50150"/>
  <c r="F27" i="50150"/>
  <c r="D27" i="50150"/>
  <c r="P27" i="50150"/>
  <c r="L27" i="50150"/>
  <c r="N27" i="50150"/>
  <c r="W55" i="50150"/>
  <c r="AA49" i="50150"/>
  <c r="AA35" i="50150"/>
  <c r="AA50" i="50150"/>
  <c r="AA53" i="50150"/>
  <c r="AA44" i="50150"/>
  <c r="AA57" i="50150"/>
  <c r="G58" i="50150"/>
  <c r="W58" i="50150"/>
  <c r="I58" i="50150"/>
  <c r="U59" i="50150"/>
  <c r="E55" i="50150"/>
  <c r="Z46" i="50150"/>
  <c r="Z44" i="50150"/>
  <c r="O25" i="50150"/>
  <c r="I25" i="50150"/>
  <c r="K25" i="50150"/>
  <c r="J25" i="50150"/>
  <c r="P25" i="50150"/>
  <c r="D25" i="50150"/>
  <c r="F25" i="50150"/>
  <c r="L25" i="50150"/>
  <c r="N25" i="50150"/>
  <c r="R25" i="50150"/>
  <c r="M25" i="50150"/>
  <c r="Q25" i="50150"/>
  <c r="K26" i="50150"/>
  <c r="J26" i="50150"/>
  <c r="O26" i="50150"/>
  <c r="I26" i="50150"/>
  <c r="H56" i="50150"/>
  <c r="H59" i="50150"/>
  <c r="H55" i="50150"/>
  <c r="H58" i="50150"/>
  <c r="H57" i="50150"/>
  <c r="X59" i="50150"/>
  <c r="X55" i="50150"/>
  <c r="X52" i="50150"/>
  <c r="X40" i="50150"/>
  <c r="X36" i="50150"/>
  <c r="X48" i="50150"/>
  <c r="X58" i="50150"/>
  <c r="X50" i="50150"/>
  <c r="X35" i="50150"/>
  <c r="X46" i="50150"/>
  <c r="X57" i="50150"/>
  <c r="X53" i="50150"/>
  <c r="X42" i="50150"/>
  <c r="X38" i="50150"/>
  <c r="X44" i="50150"/>
  <c r="X54" i="50150"/>
  <c r="X43" i="50150"/>
  <c r="X56" i="50150"/>
  <c r="X51" i="50150"/>
  <c r="X41" i="50150"/>
  <c r="X37" i="50150"/>
  <c r="X39" i="50150"/>
  <c r="F57" i="50150"/>
  <c r="V56" i="50150"/>
  <c r="V55" i="50150"/>
  <c r="V59" i="50150"/>
  <c r="V57" i="50150"/>
  <c r="V58" i="50150"/>
  <c r="F56" i="50150"/>
  <c r="S57" i="50150"/>
  <c r="AA45" i="50150"/>
  <c r="AA56" i="50150"/>
  <c r="AA42" i="50150"/>
  <c r="AA59" i="50150"/>
  <c r="AA52" i="50150"/>
  <c r="G56" i="50150"/>
  <c r="I57" i="50150"/>
  <c r="U57" i="50150"/>
  <c r="E59" i="50150"/>
  <c r="Z47" i="50150"/>
  <c r="Z45" i="50150"/>
  <c r="Q28" i="50150"/>
  <c r="M28" i="50150"/>
  <c r="Q27" i="50150"/>
  <c r="M27" i="50150"/>
  <c r="M26" i="50150"/>
  <c r="Q26" i="50150"/>
  <c r="K27" i="50150"/>
  <c r="J27" i="50150"/>
  <c r="O27" i="50150"/>
  <c r="I27" i="50150"/>
  <c r="L28" i="50150"/>
  <c r="P28" i="50150"/>
  <c r="E275" i="50149" a="1"/>
  <c r="E275" i="50149" s="1"/>
  <c r="I12" i="50150"/>
  <c r="F54" i="50150"/>
  <c r="K53" i="50150"/>
  <c r="D52" i="50150"/>
  <c r="S51" i="50150"/>
  <c r="G51" i="50150"/>
  <c r="K51" i="50150"/>
  <c r="K54" i="50150"/>
  <c r="O52" i="50150"/>
  <c r="E51" i="50150"/>
  <c r="E54" i="50150"/>
  <c r="E53" i="50150"/>
  <c r="E52" i="50150"/>
  <c r="I53" i="50150"/>
  <c r="I54" i="50150"/>
  <c r="I52" i="50150"/>
  <c r="I51" i="50150"/>
  <c r="L52" i="50150"/>
  <c r="L53" i="50150"/>
  <c r="L51" i="50150"/>
  <c r="L54" i="50150"/>
  <c r="J51" i="50150"/>
  <c r="J52" i="50150"/>
  <c r="W53" i="50150"/>
  <c r="W52" i="50150"/>
  <c r="K52" i="50150"/>
  <c r="D51" i="50150"/>
  <c r="Q51" i="50150"/>
  <c r="Q52" i="50150"/>
  <c r="Q54" i="50150"/>
  <c r="Q53" i="50150"/>
  <c r="U49" i="50150"/>
  <c r="U50" i="50150"/>
  <c r="U53" i="50150"/>
  <c r="U51" i="50150"/>
  <c r="U54" i="50150"/>
  <c r="U36" i="50150"/>
  <c r="U44" i="50150"/>
  <c r="U39" i="50150"/>
  <c r="U48" i="50150"/>
  <c r="U47" i="50150"/>
  <c r="U43" i="50150"/>
  <c r="U45" i="50150"/>
  <c r="U35" i="50150"/>
  <c r="U38" i="50150"/>
  <c r="U42" i="50150"/>
  <c r="U40" i="50150"/>
  <c r="U41" i="50150"/>
  <c r="U46" i="50150"/>
  <c r="U52" i="50150"/>
  <c r="U37" i="50150"/>
  <c r="P52" i="50150"/>
  <c r="P53" i="50150"/>
  <c r="P51" i="50150"/>
  <c r="P54" i="50150"/>
  <c r="N51" i="50150"/>
  <c r="N52" i="50150"/>
  <c r="N53" i="50150"/>
  <c r="N54" i="50150"/>
  <c r="J53" i="50150"/>
  <c r="G52" i="50150"/>
  <c r="W48" i="50150"/>
  <c r="W40" i="50150"/>
  <c r="W49" i="50150"/>
  <c r="W39" i="50150"/>
  <c r="Q23" i="50150"/>
  <c r="M23" i="50150"/>
  <c r="M22" i="50150"/>
  <c r="Q22" i="50150"/>
  <c r="M52" i="50150"/>
  <c r="M54" i="50150"/>
  <c r="M51" i="50150"/>
  <c r="M53" i="50150"/>
  <c r="T48" i="50150"/>
  <c r="T45" i="50150"/>
  <c r="T54" i="50150"/>
  <c r="T51" i="50150"/>
  <c r="T41" i="50150"/>
  <c r="T37" i="50150"/>
  <c r="T49" i="50150"/>
  <c r="T46" i="50150"/>
  <c r="T44" i="50150"/>
  <c r="T47" i="50150"/>
  <c r="T36" i="50150"/>
  <c r="T50" i="50150"/>
  <c r="T43" i="50150"/>
  <c r="T39" i="50150"/>
  <c r="T35" i="50150"/>
  <c r="T53" i="50150"/>
  <c r="T42" i="50150"/>
  <c r="T38" i="50150"/>
  <c r="T52" i="50150"/>
  <c r="T40" i="50150"/>
  <c r="R53" i="50150"/>
  <c r="R51" i="50150"/>
  <c r="R54" i="50150"/>
  <c r="R52" i="50150"/>
  <c r="J54" i="50150"/>
  <c r="D53" i="50150"/>
  <c r="D54" i="50150"/>
  <c r="S52" i="50150"/>
  <c r="O53" i="50150"/>
  <c r="G53" i="50150"/>
  <c r="W43" i="50150"/>
  <c r="W38" i="50150"/>
  <c r="W47" i="50150"/>
  <c r="W37" i="50150"/>
  <c r="W54" i="50150"/>
  <c r="Q24" i="50150"/>
  <c r="M24" i="50150"/>
  <c r="R22" i="50150"/>
  <c r="D22" i="50150"/>
  <c r="F22" i="50150"/>
  <c r="N22" i="50150"/>
  <c r="P22" i="50150"/>
  <c r="L22" i="50150"/>
  <c r="K23" i="50150"/>
  <c r="J23" i="50150"/>
  <c r="O23" i="50150"/>
  <c r="I23" i="50150"/>
  <c r="W51" i="50150"/>
  <c r="F52" i="50150"/>
  <c r="F51" i="50150"/>
  <c r="S54" i="50150"/>
  <c r="S53" i="50150"/>
  <c r="O51" i="50150"/>
  <c r="O54" i="50150"/>
  <c r="G54" i="50150"/>
  <c r="W46" i="50150"/>
  <c r="W36" i="50150"/>
  <c r="W44" i="50150"/>
  <c r="W35" i="50150"/>
  <c r="W50" i="50150"/>
  <c r="K22" i="50150"/>
  <c r="J22" i="50150"/>
  <c r="O22" i="50150"/>
  <c r="I22" i="50150"/>
  <c r="M21" i="50150"/>
  <c r="Q21" i="50150"/>
  <c r="R24" i="50150"/>
  <c r="F24" i="50150"/>
  <c r="H52" i="50150"/>
  <c r="H53" i="50150"/>
  <c r="H51" i="50150"/>
  <c r="H54" i="50150"/>
  <c r="V35" i="50150"/>
  <c r="V39" i="50150"/>
  <c r="V47" i="50150"/>
  <c r="V43" i="50150"/>
  <c r="V53" i="50150"/>
  <c r="V40" i="50150"/>
  <c r="V41" i="50150"/>
  <c r="V46" i="50150"/>
  <c r="V42" i="50150"/>
  <c r="V54" i="50150"/>
  <c r="V51" i="50150"/>
  <c r="V45" i="50150"/>
  <c r="V48" i="50150"/>
  <c r="V36" i="50150"/>
  <c r="V49" i="50150"/>
  <c r="V37" i="50150"/>
  <c r="V44" i="50150"/>
  <c r="V38" i="50150"/>
  <c r="V52" i="50150"/>
  <c r="V50" i="50150"/>
  <c r="F53" i="50150"/>
  <c r="W42" i="50150"/>
  <c r="W41" i="50150"/>
  <c r="W45" i="50150"/>
  <c r="P21" i="50150"/>
  <c r="D21" i="50150"/>
  <c r="F21" i="50150"/>
  <c r="L21" i="50150"/>
  <c r="N21" i="50150"/>
  <c r="R21" i="50150"/>
  <c r="R23" i="50150"/>
  <c r="F23" i="50150"/>
  <c r="D23" i="50150"/>
  <c r="P23" i="50150"/>
  <c r="N23" i="50150"/>
  <c r="L23" i="50150"/>
  <c r="J24" i="50150"/>
  <c r="O24" i="50150"/>
  <c r="I24" i="50150"/>
  <c r="K24" i="50150"/>
  <c r="O21" i="50150"/>
  <c r="I21" i="50150"/>
  <c r="K21" i="50150"/>
  <c r="J21" i="50150"/>
  <c r="L24" i="50150"/>
  <c r="P24" i="50150"/>
  <c r="I11" i="50150"/>
  <c r="S46" i="50150"/>
  <c r="O49" i="50150"/>
  <c r="K49" i="50150"/>
  <c r="D50" i="50150"/>
  <c r="J49" i="50150"/>
  <c r="G47" i="50150"/>
  <c r="H47" i="50150"/>
  <c r="H50" i="50150"/>
  <c r="H49" i="50150"/>
  <c r="H48" i="50150"/>
  <c r="F50" i="50150"/>
  <c r="F47" i="50150"/>
  <c r="K48" i="50150"/>
  <c r="K47" i="50150"/>
  <c r="S48" i="50150"/>
  <c r="S40" i="50150"/>
  <c r="S39" i="50150"/>
  <c r="O50" i="50150"/>
  <c r="J48" i="50150"/>
  <c r="G48" i="50150"/>
  <c r="G50" i="50150"/>
  <c r="P17" i="50150"/>
  <c r="D17" i="50150"/>
  <c r="F17" i="50150"/>
  <c r="N17" i="50150"/>
  <c r="R17" i="50150"/>
  <c r="L17" i="50150"/>
  <c r="R19" i="50150"/>
  <c r="F19" i="50150"/>
  <c r="D19" i="50150"/>
  <c r="L19" i="50150"/>
  <c r="P19" i="50150"/>
  <c r="N19" i="50150"/>
  <c r="E50" i="50150"/>
  <c r="E48" i="50150"/>
  <c r="E47" i="50150"/>
  <c r="E49" i="50150"/>
  <c r="L47" i="50150"/>
  <c r="L50" i="50150"/>
  <c r="L49" i="50150"/>
  <c r="L48" i="50150"/>
  <c r="F49" i="50150"/>
  <c r="D49" i="50150"/>
  <c r="S41" i="50150"/>
  <c r="S47" i="50150"/>
  <c r="S36" i="50150"/>
  <c r="S49" i="50150"/>
  <c r="S35" i="50150"/>
  <c r="S42" i="50150"/>
  <c r="O47" i="50150"/>
  <c r="O48" i="50150"/>
  <c r="Q20" i="50150"/>
  <c r="M20" i="50150"/>
  <c r="M18" i="50150"/>
  <c r="Q18" i="50150"/>
  <c r="O17" i="50150"/>
  <c r="I17" i="50150"/>
  <c r="J17" i="50150"/>
  <c r="K17" i="50150"/>
  <c r="M17" i="50150"/>
  <c r="Q17" i="50150"/>
  <c r="I50" i="50150"/>
  <c r="I47" i="50150"/>
  <c r="I48" i="50150"/>
  <c r="I49" i="50150"/>
  <c r="J50" i="50150"/>
  <c r="K50" i="50150"/>
  <c r="D48" i="50150"/>
  <c r="D47" i="50150"/>
  <c r="S37" i="50150"/>
  <c r="S43" i="50150"/>
  <c r="S45" i="50150"/>
  <c r="S50" i="50150"/>
  <c r="S38" i="50150"/>
  <c r="K18" i="50150"/>
  <c r="J18" i="50150"/>
  <c r="O18" i="50150"/>
  <c r="I18" i="50150"/>
  <c r="R18" i="50150"/>
  <c r="D18" i="50150"/>
  <c r="F18" i="50150"/>
  <c r="N18" i="50150"/>
  <c r="L18" i="50150"/>
  <c r="P18" i="50150"/>
  <c r="P20" i="50150"/>
  <c r="F20" i="50150"/>
  <c r="D20" i="50150"/>
  <c r="N20" i="50150"/>
  <c r="L20" i="50150"/>
  <c r="R20" i="50150"/>
  <c r="Q50" i="50150"/>
  <c r="Q46" i="50150"/>
  <c r="Q35" i="50150"/>
  <c r="Q44" i="50150"/>
  <c r="Q48" i="50150"/>
  <c r="Q49" i="50150"/>
  <c r="Q42" i="50150"/>
  <c r="Q45" i="50150"/>
  <c r="Q43" i="50150"/>
  <c r="Q41" i="50150"/>
  <c r="Q39" i="50150"/>
  <c r="Q47" i="50150"/>
  <c r="Q38" i="50150"/>
  <c r="Q36" i="50150"/>
  <c r="Q37" i="50150"/>
  <c r="Q40" i="50150"/>
  <c r="P47" i="50150"/>
  <c r="P49" i="50150"/>
  <c r="P43" i="50150"/>
  <c r="P46" i="50150"/>
  <c r="P39" i="50150"/>
  <c r="P35" i="50150"/>
  <c r="P38" i="50150"/>
  <c r="P50" i="50150"/>
  <c r="P37" i="50150"/>
  <c r="P42" i="50150"/>
  <c r="P41" i="50150"/>
  <c r="P45" i="50150"/>
  <c r="P44" i="50150"/>
  <c r="P48" i="50150"/>
  <c r="P40" i="50150"/>
  <c r="P36" i="50150"/>
  <c r="N48" i="50150"/>
  <c r="N47" i="50150"/>
  <c r="N49" i="50150"/>
  <c r="N50" i="50150"/>
  <c r="M49" i="50150"/>
  <c r="M48" i="50150"/>
  <c r="M50" i="50150"/>
  <c r="M47" i="50150"/>
  <c r="R47" i="50150"/>
  <c r="R39" i="50150"/>
  <c r="R41" i="50150"/>
  <c r="R35" i="50150"/>
  <c r="R49" i="50150"/>
  <c r="R50" i="50150"/>
  <c r="R43" i="50150"/>
  <c r="R46" i="50150"/>
  <c r="R38" i="50150"/>
  <c r="R36" i="50150"/>
  <c r="R42" i="50150"/>
  <c r="R37" i="50150"/>
  <c r="R44" i="50150"/>
  <c r="R48" i="50150"/>
  <c r="R40" i="50150"/>
  <c r="R45" i="50150"/>
  <c r="O36" i="50150"/>
  <c r="F48" i="50150"/>
  <c r="S44" i="50150"/>
  <c r="J47" i="50150"/>
  <c r="G49" i="50150"/>
  <c r="Q19" i="50150"/>
  <c r="M19" i="50150"/>
  <c r="K19" i="50150"/>
  <c r="J19" i="50150"/>
  <c r="O19" i="50150"/>
  <c r="I19" i="50150"/>
  <c r="J20" i="50150"/>
  <c r="O20" i="50150"/>
  <c r="I20" i="50150"/>
  <c r="K20" i="50150"/>
  <c r="K45" i="50150"/>
  <c r="D46" i="50150"/>
  <c r="G46" i="50150"/>
  <c r="D45" i="50150"/>
  <c r="O45" i="50150"/>
  <c r="O42" i="50150"/>
  <c r="J45" i="50150"/>
  <c r="K46" i="50150"/>
  <c r="E45" i="50150"/>
  <c r="E46" i="50150"/>
  <c r="O38" i="50150"/>
  <c r="O46" i="50150"/>
  <c r="O39" i="50150"/>
  <c r="G45" i="50150"/>
  <c r="I15" i="50150"/>
  <c r="J15" i="50150"/>
  <c r="J16" i="50150"/>
  <c r="I16" i="50150"/>
  <c r="F16" i="50150"/>
  <c r="D16" i="50150"/>
  <c r="M45" i="50150"/>
  <c r="M46" i="50150"/>
  <c r="O43" i="50150"/>
  <c r="O41" i="50150"/>
  <c r="O40" i="50150"/>
  <c r="O35" i="50150"/>
  <c r="I46" i="50150"/>
  <c r="I45" i="50150"/>
  <c r="L45" i="50150"/>
  <c r="L46" i="50150"/>
  <c r="D15" i="50150"/>
  <c r="F15" i="50150"/>
  <c r="N36" i="50150"/>
  <c r="N38" i="50150"/>
  <c r="N40" i="50150"/>
  <c r="N41" i="50150"/>
  <c r="N42" i="50150"/>
  <c r="N39" i="50150"/>
  <c r="N46" i="50150"/>
  <c r="N35" i="50150"/>
  <c r="N37" i="50150"/>
  <c r="N43" i="50150"/>
  <c r="N45" i="50150"/>
  <c r="N44" i="50150"/>
  <c r="H46" i="50150"/>
  <c r="H45" i="50150"/>
  <c r="F46" i="50150"/>
  <c r="F45" i="50150"/>
  <c r="J46" i="50150"/>
  <c r="O44" i="50150"/>
  <c r="O37" i="50150"/>
  <c r="F44" i="50150"/>
  <c r="K44" i="50150"/>
  <c r="G43" i="50150"/>
  <c r="D11" i="50150"/>
  <c r="F43" i="50150"/>
  <c r="J13" i="50150"/>
  <c r="E43" i="50150"/>
  <c r="E44" i="50150"/>
  <c r="L40" i="50150"/>
  <c r="L36" i="50150"/>
  <c r="L43" i="50150"/>
  <c r="L44" i="50150"/>
  <c r="L39" i="50150"/>
  <c r="L35" i="50150"/>
  <c r="L42" i="50150"/>
  <c r="L38" i="50150"/>
  <c r="L41" i="50150"/>
  <c r="L37" i="50150"/>
  <c r="H44" i="50150"/>
  <c r="H43" i="50150"/>
  <c r="D43" i="50150"/>
  <c r="G44" i="50150"/>
  <c r="I43" i="50150"/>
  <c r="I44" i="50150"/>
  <c r="J43" i="50150"/>
  <c r="J44" i="50150"/>
  <c r="K43" i="50150"/>
  <c r="D44" i="50150"/>
  <c r="J14" i="50150"/>
  <c r="I14" i="50150"/>
  <c r="D14" i="50150"/>
  <c r="F14" i="50150"/>
  <c r="I13" i="50150"/>
  <c r="M44" i="50150"/>
  <c r="M35" i="50150"/>
  <c r="M41" i="50150"/>
  <c r="M42" i="50150"/>
  <c r="M38" i="50150"/>
  <c r="M43" i="50150"/>
  <c r="M39" i="50150"/>
  <c r="M37" i="50150"/>
  <c r="M40" i="50150"/>
  <c r="M36" i="50150"/>
  <c r="D13" i="50150"/>
  <c r="F13" i="50150"/>
  <c r="I10" i="50150"/>
  <c r="F10" i="50150"/>
  <c r="F11" i="50150"/>
  <c r="D7" i="50150"/>
  <c r="F8" i="50150"/>
  <c r="I8" i="50150"/>
  <c r="J6" i="50150"/>
  <c r="I6" i="50150"/>
  <c r="F6" i="50150"/>
  <c r="G71" i="50150"/>
  <c r="H71" i="50150"/>
  <c r="E400" i="50149" s="1"/>
  <c r="F7" i="50150"/>
  <c r="B70" i="50150"/>
  <c r="J7" i="50150"/>
  <c r="I7" i="50150"/>
  <c r="D9" i="50150"/>
  <c r="F9" i="50150"/>
  <c r="K111" i="50150"/>
  <c r="K102" i="50150"/>
  <c r="D5" i="50150"/>
  <c r="F5" i="50150"/>
  <c r="J9" i="50150"/>
  <c r="I9" i="50150"/>
  <c r="J12" i="50150"/>
  <c r="J8" i="50150"/>
  <c r="H40" i="50150"/>
  <c r="H36" i="50150"/>
  <c r="H39" i="50150"/>
  <c r="H35" i="50150"/>
  <c r="H42" i="50150"/>
  <c r="H38" i="50150"/>
  <c r="H41" i="50150"/>
  <c r="H37" i="50150"/>
  <c r="F36" i="50150"/>
  <c r="F38" i="50150"/>
  <c r="F40" i="50150"/>
  <c r="F42" i="50150"/>
  <c r="F41" i="50150"/>
  <c r="F35" i="50150"/>
  <c r="F37" i="50150"/>
  <c r="F39" i="50150"/>
  <c r="D42" i="50150"/>
  <c r="D38" i="50150"/>
  <c r="D41" i="50150"/>
  <c r="D39" i="50150"/>
  <c r="D36" i="50150"/>
  <c r="D40" i="50150"/>
  <c r="D35" i="50150"/>
  <c r="D37" i="50150"/>
  <c r="D12" i="50150"/>
  <c r="F12" i="50150"/>
  <c r="J10" i="50150"/>
  <c r="E42" i="50150"/>
  <c r="E36" i="50150"/>
  <c r="E40" i="50150"/>
  <c r="E38" i="50150"/>
  <c r="E41" i="50150"/>
  <c r="E35" i="50150"/>
  <c r="E37" i="50150"/>
  <c r="E39" i="50150"/>
  <c r="I40" i="50150"/>
  <c r="I42" i="50150"/>
  <c r="I41" i="50150"/>
  <c r="I36" i="50150"/>
  <c r="I37" i="50150"/>
  <c r="I35" i="50150"/>
  <c r="I38" i="50150"/>
  <c r="I39" i="50150"/>
  <c r="J36" i="50150"/>
  <c r="J40" i="50150"/>
  <c r="J42" i="50150"/>
  <c r="J38" i="50150"/>
  <c r="J41" i="50150"/>
  <c r="J39" i="50150"/>
  <c r="J37" i="50150"/>
  <c r="J35" i="50150"/>
  <c r="G36" i="50150"/>
  <c r="G40" i="50150"/>
  <c r="G37" i="50150"/>
  <c r="G38" i="50150"/>
  <c r="G35" i="50150"/>
  <c r="G41" i="50150"/>
  <c r="G39" i="50150"/>
  <c r="G42" i="50150"/>
  <c r="K79" i="50150"/>
  <c r="K80" i="50150" s="1"/>
  <c r="L85" i="50150"/>
  <c r="L86" i="50150" s="1"/>
  <c r="H80" i="50150"/>
  <c r="H81" i="50150" s="1"/>
  <c r="H79" i="50150"/>
  <c r="G81" i="50150"/>
  <c r="G82" i="50150" s="1"/>
  <c r="I5" i="50150"/>
  <c r="J5" i="50150"/>
  <c r="K38" i="50150"/>
  <c r="K42" i="50150"/>
  <c r="K36" i="50150"/>
  <c r="K40" i="50150"/>
  <c r="K35" i="50150"/>
  <c r="K37" i="50150"/>
  <c r="K39" i="50150"/>
  <c r="K41" i="50150"/>
  <c r="J11" i="50150"/>
  <c r="E377" i="50149" l="1"/>
  <c r="E342" i="50149"/>
  <c r="E147" i="50149"/>
  <c r="E354" i="50149"/>
  <c r="G348" i="50149"/>
  <c r="E277" i="50149"/>
  <c r="E173" i="50149" a="1"/>
  <c r="E173" i="50149" s="1"/>
  <c r="I30" i="50150" a="1"/>
  <c r="I30" i="50150" s="1"/>
  <c r="J30" i="50150"/>
  <c r="G72" i="50150"/>
  <c r="K68" i="50150" s="1"/>
  <c r="H82" i="50150"/>
  <c r="H83" i="50150"/>
  <c r="B76" i="50150"/>
  <c r="B69" i="50150"/>
  <c r="G83" i="50150"/>
  <c r="G80" i="50150"/>
  <c r="B60" i="50150" a="1"/>
  <c r="B60" i="50150" s="1"/>
  <c r="E257" i="50149"/>
  <c r="E203" i="50149"/>
  <c r="B154" i="50149" l="1"/>
  <c r="G103" i="50149"/>
  <c r="E343" i="50149"/>
  <c r="E346" i="50149" s="1"/>
  <c r="L102" i="50150"/>
  <c r="L103" i="50150" s="1"/>
  <c r="G84" i="50150"/>
  <c r="L70" i="50150"/>
  <c r="L66" i="50150"/>
  <c r="L69" i="50150"/>
  <c r="K69" i="50150"/>
  <c r="K67" i="50150"/>
  <c r="L67" i="50150"/>
  <c r="L68" i="50150" s="1"/>
  <c r="K66" i="50150"/>
  <c r="K70" i="50150" s="1"/>
  <c r="H84" i="50150"/>
  <c r="K106" i="50150"/>
  <c r="K107" i="50150" s="1"/>
  <c r="B77" i="50150"/>
  <c r="B71" i="50150"/>
  <c r="E392" i="50149"/>
  <c r="G346" i="50149" l="1"/>
  <c r="E316" i="50149"/>
  <c r="E309" i="50149"/>
  <c r="E302" i="50149"/>
  <c r="E221" i="50149" l="1" a="1"/>
  <c r="E221" i="50149" s="1"/>
  <c r="E399" i="50149"/>
  <c r="E407" i="50149" s="1"/>
  <c r="E415" i="50149" s="1"/>
  <c r="E416" i="50149" s="1"/>
  <c r="G383" i="50149" l="1"/>
  <c r="G382" i="50149"/>
  <c r="G349" i="50149"/>
  <c r="I379" i="50149"/>
  <c r="E378" i="50149"/>
  <c r="E388" i="50149"/>
  <c r="E389" i="50149" s="1"/>
  <c r="E355" i="50149"/>
  <c r="H403" i="50149"/>
  <c r="E403" i="50149" s="1"/>
  <c r="E258" i="50149"/>
  <c r="E266" i="50149" s="1"/>
  <c r="E409" i="50149" l="1"/>
  <c r="E259" i="50149"/>
  <c r="G260" i="50149" s="1"/>
  <c r="G392" i="50149"/>
  <c r="H404" i="50149"/>
  <c r="E404" i="50149" s="1"/>
  <c r="E410" i="50149" s="1"/>
  <c r="E269" i="50149" a="1"/>
  <c r="E269" i="50149" s="1"/>
  <c r="E270" i="50149" s="1"/>
  <c r="E411" i="50149" l="1"/>
  <c r="G266" i="50149"/>
  <c r="E271" i="50149"/>
  <c r="E278" i="50149"/>
  <c r="E223" i="50149"/>
  <c r="E224" i="50149" s="1"/>
  <c r="E295" i="50149"/>
  <c r="E289" i="50149" l="1"/>
  <c r="B272" i="50149"/>
  <c r="E279" i="50149"/>
  <c r="E283" i="50149" s="1"/>
  <c r="G284" i="50149" s="1"/>
  <c r="E379" i="50149"/>
  <c r="E317" i="50149"/>
  <c r="E318" i="50149" s="1"/>
  <c r="G318" i="50149" s="1"/>
  <c r="E311" i="50149"/>
  <c r="E296" i="50149"/>
  <c r="E297" i="50149" s="1"/>
  <c r="G297" i="50149" s="1"/>
  <c r="E390" i="50149"/>
  <c r="E356" i="50149"/>
  <c r="E204" i="50149"/>
  <c r="E212" i="50149" s="1"/>
  <c r="E150" i="50149"/>
  <c r="E205" i="50149" l="1"/>
  <c r="G206" i="50149" s="1"/>
  <c r="G212" i="50149"/>
  <c r="E152" i="50149"/>
  <c r="G153" i="50149" s="1"/>
  <c r="G379" i="50149"/>
  <c r="E380" i="50149"/>
  <c r="G380" i="50149" s="1"/>
  <c r="E290" i="50149"/>
  <c r="G290" i="50149" s="1"/>
  <c r="G311" i="50149"/>
  <c r="G358" i="50149"/>
  <c r="E215" i="50149" l="1" a="1"/>
  <c r="E215" i="50149" s="1"/>
  <c r="E216" i="50149" l="1"/>
  <c r="E217" i="50149" s="1"/>
  <c r="E235" i="50149" s="1"/>
  <c r="E168" i="50149" a="1"/>
  <c r="E168" i="50149" s="1"/>
  <c r="B218" i="50149" l="1"/>
  <c r="E169" i="50149"/>
  <c r="E170" i="50149" s="1"/>
  <c r="E225" i="50149"/>
  <c r="E175" i="50149" l="1"/>
  <c r="E176" i="50149" s="1"/>
  <c r="G177" i="50149" s="1"/>
  <c r="E229" i="50149" l="1"/>
  <c r="E303" i="50149"/>
  <c r="E304" i="50149" s="1"/>
  <c r="G304" i="50149" s="1"/>
  <c r="E236" i="50149" l="1"/>
  <c r="G236" i="50149" s="1"/>
  <c r="E381" i="50149"/>
  <c r="E347" i="50149"/>
  <c r="G230" i="50149"/>
  <c r="G381" i="50149" l="1"/>
  <c r="E384" i="50149"/>
  <c r="G384" i="50149" s="1"/>
  <c r="G347" i="50149"/>
  <c r="E350" i="50149"/>
  <c r="G350" i="50149" s="1"/>
  <c r="G389" i="50149" l="1"/>
  <c r="G355" i="50149"/>
</calcChain>
</file>

<file path=xl/comments1.xml><?xml version="1.0" encoding="utf-8"?>
<comments xmlns="http://schemas.openxmlformats.org/spreadsheetml/2006/main">
  <authors>
    <author>Maxwell Coar</author>
  </authors>
  <commentList>
    <comment ref="D27" authorId="0" shapeId="0">
      <text>
        <r>
          <rPr>
            <b/>
            <sz val="9"/>
            <color indexed="81"/>
            <rFont val="Tahoma"/>
            <family val="2"/>
          </rPr>
          <t>Maxwell Coar:</t>
        </r>
        <r>
          <rPr>
            <sz val="9"/>
            <color indexed="81"/>
            <rFont val="Tahoma"/>
            <family val="2"/>
          </rPr>
          <t xml:space="preserve">
See CSRI Figure 13-5 for depth based on unfactored pile capacity.</t>
        </r>
      </text>
    </comment>
    <comment ref="D28" authorId="0" shapeId="0">
      <text>
        <r>
          <rPr>
            <b/>
            <sz val="9"/>
            <color indexed="81"/>
            <rFont val="Tahoma"/>
            <family val="2"/>
          </rPr>
          <t>Maxwell Coar:</t>
        </r>
        <r>
          <rPr>
            <sz val="9"/>
            <color indexed="81"/>
            <rFont val="Tahoma"/>
            <family val="2"/>
          </rPr>
          <t xml:space="preserve">
per CRSI 13-21, 
E = 
15in for P&lt;60ton; 
21in for 60ton&lt;P&lt;120ton; 
27in for 120ton&lt;P&lt;200ton; 
30in for P&gt;200ton</t>
        </r>
      </text>
    </comment>
    <comment ref="D29" authorId="0" shapeId="0">
      <text>
        <r>
          <rPr>
            <b/>
            <sz val="9"/>
            <color indexed="81"/>
            <rFont val="Tahoma"/>
            <family val="2"/>
          </rPr>
          <t>Maxwell Coar:</t>
        </r>
        <r>
          <rPr>
            <sz val="9"/>
            <color indexed="81"/>
            <rFont val="Tahoma"/>
            <family val="2"/>
          </rPr>
          <t xml:space="preserve">
User Determined. 
Minimum values for f'c = 3-4ksi, fy = 60ksi piles:
40-60T -&gt; 8"
80-100T -&gt; 10"
120-140T -&gt; 12"
160-200T -&gt; 15"</t>
        </r>
      </text>
    </comment>
    <comment ref="D30" authorId="0" shapeId="0">
      <text>
        <r>
          <rPr>
            <b/>
            <sz val="9"/>
            <color indexed="81"/>
            <rFont val="Tahoma"/>
            <family val="2"/>
          </rPr>
          <t>Maxwell Coar:</t>
        </r>
        <r>
          <rPr>
            <sz val="9"/>
            <color indexed="81"/>
            <rFont val="Tahoma"/>
            <family val="2"/>
          </rPr>
          <t xml:space="preserve">
User Determined. If column is not square, conservatively use the smaller side.
If dimensions aren't known, but Pu is (1.2D+1.6L), can use the tables beginning on 13-31, or the following equation: 
c^2 = ( Np*serviceload - weight_pilecap)*1.6/f'c)
</t>
        </r>
      </text>
    </comment>
    <comment ref="D31" authorId="0" shapeId="0">
      <text>
        <r>
          <rPr>
            <b/>
            <sz val="9"/>
            <color indexed="81"/>
            <rFont val="Tahoma"/>
            <family val="2"/>
          </rPr>
          <t>Maxwell Coar:</t>
        </r>
        <r>
          <rPr>
            <sz val="9"/>
            <color indexed="81"/>
            <rFont val="Tahoma"/>
            <family val="2"/>
          </rPr>
          <t xml:space="preserve">
Distance from bottom of pile to center of flexural reinforcement. 
Steel TYP: 10"
Conc TYP: 8"</t>
        </r>
      </text>
    </comment>
    <comment ref="D33" authorId="0" shapeId="0">
      <text>
        <r>
          <rPr>
            <b/>
            <sz val="9"/>
            <color indexed="81"/>
            <rFont val="Tahoma"/>
            <family val="2"/>
          </rPr>
          <t>Maxwell Coar:</t>
        </r>
        <r>
          <rPr>
            <sz val="9"/>
            <color indexed="81"/>
            <rFont val="Tahoma"/>
            <family val="2"/>
          </rPr>
          <t xml:space="preserve">
Tolerance in pile horizontal placement. Typ: 3"
</t>
        </r>
      </text>
    </comment>
    <comment ref="D34" authorId="0" shapeId="0">
      <text>
        <r>
          <rPr>
            <b/>
            <sz val="9"/>
            <color indexed="81"/>
            <rFont val="Tahoma"/>
            <family val="2"/>
          </rPr>
          <t>Maxwell Coar:</t>
        </r>
        <r>
          <rPr>
            <sz val="9"/>
            <color indexed="81"/>
            <rFont val="Tahoma"/>
            <family val="2"/>
          </rPr>
          <t xml:space="preserve">
Tolerance for column typical placement.
Typ: 0"</t>
        </r>
      </text>
    </comment>
    <comment ref="C36" authorId="0" shapeId="0">
      <text>
        <r>
          <rPr>
            <b/>
            <sz val="9"/>
            <color indexed="81"/>
            <rFont val="Tahoma"/>
            <family val="2"/>
          </rPr>
          <t xml:space="preserve">Maxwell Coar:
</t>
        </r>
        <r>
          <rPr>
            <sz val="9"/>
            <color indexed="81"/>
            <rFont val="Tahoma"/>
            <family val="2"/>
          </rPr>
          <t xml:space="preserve">3000-4000 psi is generally sufficient unless reduced pile cap depth is a specific project goal. See "Concrete Strength" in CSRI EXCERPTS
</t>
        </r>
      </text>
    </comment>
    <comment ref="D37" authorId="0" shapeId="0">
      <text>
        <r>
          <rPr>
            <b/>
            <sz val="9"/>
            <color indexed="81"/>
            <rFont val="Tahoma"/>
            <family val="2"/>
          </rPr>
          <t>Maxwell Coar:</t>
        </r>
        <r>
          <rPr>
            <sz val="9"/>
            <color indexed="81"/>
            <rFont val="Tahoma"/>
            <family val="2"/>
          </rPr>
          <t xml:space="preserve">
Rarely changed from default 60 ksi</t>
        </r>
      </text>
    </comment>
    <comment ref="D38" authorId="0" shapeId="0">
      <text>
        <r>
          <rPr>
            <b/>
            <sz val="9"/>
            <color indexed="81"/>
            <rFont val="Tahoma"/>
            <family val="2"/>
          </rPr>
          <t>Maxwell Coar:</t>
        </r>
        <r>
          <rPr>
            <sz val="9"/>
            <color indexed="81"/>
            <rFont val="Tahoma"/>
            <family val="2"/>
          </rPr>
          <t xml:space="preserve">
3" TYP.
This is cover between top of embedded pile and reinforcing bars
</t>
        </r>
      </text>
    </comment>
    <comment ref="C39" authorId="0" shapeId="0">
      <text>
        <r>
          <rPr>
            <b/>
            <sz val="9"/>
            <color indexed="81"/>
            <rFont val="Tahoma"/>
            <family val="2"/>
          </rPr>
          <t>Maxwell Coar:</t>
        </r>
        <r>
          <rPr>
            <sz val="9"/>
            <color indexed="81"/>
            <rFont val="Tahoma"/>
            <family val="2"/>
          </rPr>
          <t xml:space="preserve">
Conservatively assumed average load factor for column ultimate load Pu</t>
        </r>
      </text>
    </comment>
    <comment ref="A41" authorId="0" shapeId="0">
      <text>
        <r>
          <rPr>
            <b/>
            <sz val="9"/>
            <color indexed="81"/>
            <rFont val="Tahoma"/>
            <family val="2"/>
          </rPr>
          <t>Maxwell Coar:</t>
        </r>
        <r>
          <rPr>
            <sz val="9"/>
            <color indexed="81"/>
            <rFont val="Tahoma"/>
            <family val="2"/>
          </rPr>
          <t xml:space="preserve">
Can be adjusted if column is not at geometric center of piles.</t>
        </r>
      </text>
    </comment>
    <comment ref="A45" authorId="0" shapeId="0">
      <text>
        <r>
          <rPr>
            <b/>
            <sz val="9"/>
            <color indexed="81"/>
            <rFont val="Tahoma"/>
            <family val="2"/>
          </rPr>
          <t>Maxwell Coar:</t>
        </r>
        <r>
          <rPr>
            <sz val="9"/>
            <color indexed="81"/>
            <rFont val="Tahoma"/>
            <family val="2"/>
          </rPr>
          <t xml:space="preserve">
List is automatically populated with CSRI Fig 13-2 tabulated pile arrangements based on Np. 
User must enter the service loads for each pile. 
If user wants a custom arrangement, they should 1) enter the custom number of piles, and 2) fill out the custom list, which will automatically populate the Design list. </t>
        </r>
      </text>
    </comment>
    <comment ref="E45" authorId="0" shapeId="0">
      <text>
        <r>
          <rPr>
            <b/>
            <sz val="9"/>
            <color indexed="81"/>
            <rFont val="Tahoma"/>
            <family val="2"/>
          </rPr>
          <t>Maxwell Coar:</t>
        </r>
        <r>
          <rPr>
            <sz val="9"/>
            <color indexed="81"/>
            <rFont val="Tahoma"/>
            <family val="2"/>
          </rPr>
          <t xml:space="preserve">
User-determined. Piles designed by unfactored service strength (D + L).</t>
        </r>
      </text>
    </comment>
    <comment ref="E46" authorId="0" shapeId="0">
      <text>
        <r>
          <rPr>
            <b/>
            <sz val="9"/>
            <color indexed="81"/>
            <rFont val="Tahoma"/>
            <family val="2"/>
          </rPr>
          <t>Maxwell Coar:</t>
        </r>
        <r>
          <rPr>
            <sz val="9"/>
            <color indexed="81"/>
            <rFont val="Tahoma"/>
            <family val="2"/>
          </rPr>
          <t xml:space="preserve">
Typically between 40 and 200 Tons
</t>
        </r>
      </text>
    </comment>
    <comment ref="D48" authorId="0" shapeId="0">
      <text>
        <r>
          <rPr>
            <sz val="9"/>
            <color indexed="81"/>
            <rFont val="Tahoma"/>
            <family val="2"/>
          </rPr>
          <t>Unfactored Service Load D+L</t>
        </r>
      </text>
    </comment>
    <comment ref="C74" authorId="0" shapeId="0">
      <text>
        <r>
          <rPr>
            <b/>
            <sz val="9"/>
            <color indexed="81"/>
            <rFont val="Tahoma"/>
            <family val="2"/>
          </rPr>
          <t>Maxwell Coar:</t>
        </r>
        <r>
          <rPr>
            <sz val="9"/>
            <color indexed="81"/>
            <rFont val="Tahoma"/>
            <family val="2"/>
          </rPr>
          <t xml:space="preserve">
For shear checks
</t>
        </r>
      </text>
    </comment>
    <comment ref="C75" authorId="0" shapeId="0">
      <text>
        <r>
          <rPr>
            <b/>
            <sz val="9"/>
            <color indexed="81"/>
            <rFont val="Tahoma"/>
            <family val="2"/>
          </rPr>
          <t>Maxwell Coar:</t>
        </r>
        <r>
          <rPr>
            <sz val="9"/>
            <color indexed="81"/>
            <rFont val="Tahoma"/>
            <family val="2"/>
          </rPr>
          <t xml:space="preserve">
Compare to service load on column</t>
        </r>
      </text>
    </comment>
    <comment ref="D147" authorId="0" shapeId="0">
      <text>
        <r>
          <rPr>
            <b/>
            <sz val="9"/>
            <color indexed="81"/>
            <rFont val="Tahoma"/>
            <family val="2"/>
          </rPr>
          <t>Maxwell Coar:</t>
        </r>
        <r>
          <rPr>
            <sz val="9"/>
            <color indexed="81"/>
            <rFont val="Tahoma"/>
            <family val="2"/>
          </rPr>
          <t xml:space="preserve">
Shear Demand</t>
        </r>
      </text>
    </comment>
    <comment ref="D149" authorId="0" shapeId="0">
      <text>
        <r>
          <rPr>
            <b/>
            <sz val="9"/>
            <color indexed="81"/>
            <rFont val="Tahoma"/>
            <family val="2"/>
          </rPr>
          <t>Maxwell Coar:</t>
        </r>
        <r>
          <rPr>
            <sz val="9"/>
            <color indexed="81"/>
            <rFont val="Tahoma"/>
            <family val="2"/>
          </rPr>
          <t xml:space="preserve">
Shear capacity for concrete</t>
        </r>
      </text>
    </comment>
    <comment ref="D150" authorId="0" shapeId="0">
      <text>
        <r>
          <rPr>
            <b/>
            <sz val="9"/>
            <color indexed="81"/>
            <rFont val="Tahoma"/>
            <family val="2"/>
          </rPr>
          <t>Maxwell Coar:</t>
        </r>
        <r>
          <rPr>
            <sz val="9"/>
            <color indexed="81"/>
            <rFont val="Tahoma"/>
            <family val="2"/>
          </rPr>
          <t xml:space="preserve">
Punching shear perimeter (sides of column plus d)
</t>
        </r>
      </text>
    </comment>
    <comment ref="D152" authorId="0" shapeId="0">
      <text>
        <r>
          <rPr>
            <b/>
            <sz val="9"/>
            <color indexed="81"/>
            <rFont val="Tahoma"/>
            <family val="2"/>
          </rPr>
          <t>Maxwell Coar:</t>
        </r>
        <r>
          <rPr>
            <sz val="9"/>
            <color indexed="81"/>
            <rFont val="Tahoma"/>
            <family val="2"/>
          </rPr>
          <t xml:space="preserve">
Reduced Shear Capacity</t>
        </r>
      </text>
    </comment>
  </commentList>
</comments>
</file>

<file path=xl/sharedStrings.xml><?xml version="1.0" encoding="utf-8"?>
<sst xmlns="http://schemas.openxmlformats.org/spreadsheetml/2006/main" count="651" uniqueCount="328">
  <si>
    <t>CALCULATIONS:</t>
  </si>
  <si>
    <t>Xc =</t>
  </si>
  <si>
    <t>Yc =</t>
  </si>
  <si>
    <t>Xp</t>
  </si>
  <si>
    <t>Yp</t>
  </si>
  <si>
    <t>J =</t>
  </si>
  <si>
    <t>Pile Dist. to C.G.:</t>
  </si>
  <si>
    <t>Pile Group Properties:</t>
  </si>
  <si>
    <t>Pile Coordinates:</t>
  </si>
  <si>
    <t>Pile Dist. to X,Y axis:</t>
  </si>
  <si>
    <t>Pile No.:</t>
  </si>
  <si>
    <t>Moments of Inertia:</t>
  </si>
  <si>
    <t>dy</t>
  </si>
  <si>
    <t>dx</t>
  </si>
  <si>
    <t>Ix =</t>
  </si>
  <si>
    <t>Iy =</t>
  </si>
  <si>
    <t>Ixy =</t>
  </si>
  <si>
    <t>Ix</t>
  </si>
  <si>
    <t>Iy</t>
  </si>
  <si>
    <t>Ixy</t>
  </si>
  <si>
    <t>psi</t>
  </si>
  <si>
    <t>in</t>
  </si>
  <si>
    <t>kip</t>
  </si>
  <si>
    <t>ft</t>
  </si>
  <si>
    <t>kip ft</t>
  </si>
  <si>
    <t>kip in / ft</t>
  </si>
  <si>
    <t>Bar Size</t>
  </si>
  <si>
    <t>Area</t>
  </si>
  <si>
    <t>Dia</t>
  </si>
  <si>
    <t>#4</t>
  </si>
  <si>
    <t>#5</t>
  </si>
  <si>
    <t>#6</t>
  </si>
  <si>
    <t>#7</t>
  </si>
  <si>
    <t>#8</t>
  </si>
  <si>
    <t>#9</t>
  </si>
  <si>
    <t>#10</t>
  </si>
  <si>
    <t>#11</t>
  </si>
  <si>
    <t>ksi</t>
  </si>
  <si>
    <t>dist</t>
  </si>
  <si>
    <t>per CRSI 13-23, assume dc = 8 in for concrete piles, 10 in for steel piles</t>
  </si>
  <si>
    <t>per CRSI 13-24, 4*sqrt(f'c)</t>
  </si>
  <si>
    <t>per CRSI 13-24, 2*sqrt(f'c)</t>
  </si>
  <si>
    <t>S Xo =</t>
  </si>
  <si>
    <t>S Yo =</t>
  </si>
  <si>
    <t>q =</t>
  </si>
  <si>
    <t>min dist</t>
  </si>
  <si>
    <t>Column Coordinates:</t>
  </si>
  <si>
    <t>x</t>
  </si>
  <si>
    <t>y</t>
  </si>
  <si>
    <t>Pile Cap Size</t>
  </si>
  <si>
    <t>sum of all pile forces to the right of d from column face</t>
  </si>
  <si>
    <t>Pile Moment to col face + tolerances</t>
  </si>
  <si>
    <t>#</t>
  </si>
  <si>
    <t>coordinates</t>
  </si>
  <si>
    <t>There are 6 section checks to be performed in total.</t>
  </si>
  <si>
    <t>Pile Spacing Check</t>
  </si>
  <si>
    <t>Pile Cap Width in X =</t>
  </si>
  <si>
    <t>Pile Cap Width in Y =</t>
  </si>
  <si>
    <t>X Direction</t>
  </si>
  <si>
    <t>Y Direction</t>
  </si>
  <si>
    <t>LERA</t>
  </si>
  <si>
    <t>REV.</t>
  </si>
  <si>
    <t>P</t>
  </si>
  <si>
    <t>DRAWING NO.</t>
  </si>
  <si>
    <t>DRAFT</t>
  </si>
  <si>
    <t>DESIGN</t>
  </si>
  <si>
    <t>CHECK</t>
  </si>
  <si>
    <t>LESLIE E. ROBERTSON ASSOCIATES, RLLP
CONSULTING STRUCTURAL ENGINEERS</t>
  </si>
  <si>
    <t>Pile Cap Design</t>
  </si>
  <si>
    <t>Cover =</t>
  </si>
  <si>
    <t>Load Factor =</t>
  </si>
  <si>
    <t>Pile Tolerance =</t>
  </si>
  <si>
    <t>Col Tolerance =</t>
  </si>
  <si>
    <t>Pile Cap Depth, D =</t>
  </si>
  <si>
    <t>Edge Dist to CL, E =</t>
  </si>
  <si>
    <t>Column Dim, c =</t>
  </si>
  <si>
    <t>w + tolerance =</t>
  </si>
  <si>
    <t>=d/w*(1+d/c)*2*sqrt(f'c)</t>
  </si>
  <si>
    <t>=4*c</t>
  </si>
  <si>
    <t>b =</t>
  </si>
  <si>
    <t>d =</t>
  </si>
  <si>
    <t xml:space="preserve">min dist from Pile CL to Col CL in X = </t>
  </si>
  <si>
    <t>(w + tol) in x / d =</t>
  </si>
  <si>
    <t>= pile cap width in Y direction</t>
  </si>
  <si>
    <t>check if the deep beam case applies</t>
  </si>
  <si>
    <t>Vu in Y =</t>
  </si>
  <si>
    <t>shear perimeter =</t>
  </si>
  <si>
    <r>
      <t>A</t>
    </r>
    <r>
      <rPr>
        <vertAlign val="subscript"/>
        <sz val="10"/>
        <rFont val="Helvetica"/>
      </rPr>
      <t>s =</t>
    </r>
  </si>
  <si>
    <t>Spacing of rebar =</t>
  </si>
  <si>
    <t>Spacing max =</t>
  </si>
  <si>
    <t>#14</t>
  </si>
  <si>
    <t>#3</t>
  </si>
  <si>
    <t>d/2 from Column Face</t>
  </si>
  <si>
    <t>d from Column Face in X</t>
  </si>
  <si>
    <t>d from Column Face in Y</t>
  </si>
  <si>
    <t>Column Face in X</t>
  </si>
  <si>
    <t>Column Face in Y</t>
  </si>
  <si>
    <t>Column Size</t>
  </si>
  <si>
    <t>assumes 45 degree angle, conservative</t>
  </si>
  <si>
    <t>per CRSI 13-24</t>
  </si>
  <si>
    <t>sum of all pile forces beyond the right column face</t>
  </si>
  <si>
    <t>sum of all pile forces beyond the top column face</t>
  </si>
  <si>
    <t>sum of moment of these forces to the column face</t>
  </si>
  <si>
    <t>This spreadsheet is based on CRSI Design Handbook 2008 (10th Edition) Chapter 13.</t>
  </si>
  <si>
    <t>f'c</t>
  </si>
  <si>
    <t>Vu outside punching shear perimeter</t>
  </si>
  <si>
    <t>d for shear =</t>
  </si>
  <si>
    <t>Y(ft)</t>
  </si>
  <si>
    <t>X(ft)</t>
  </si>
  <si>
    <t>sum of all pile vertical reactions, excluding the pile under the column</t>
  </si>
  <si>
    <r>
      <t>d</t>
    </r>
    <r>
      <rPr>
        <vertAlign val="subscript"/>
        <sz val="10"/>
        <rFont val="Helvetica"/>
      </rPr>
      <t>c</t>
    </r>
    <r>
      <rPr>
        <sz val="10"/>
        <rFont val="Helvetica"/>
      </rPr>
      <t xml:space="preserve"> =</t>
    </r>
  </si>
  <si>
    <r>
      <t>f'</t>
    </r>
    <r>
      <rPr>
        <vertAlign val="subscript"/>
        <sz val="10"/>
        <rFont val="Helvetica"/>
      </rPr>
      <t>c</t>
    </r>
    <r>
      <rPr>
        <sz val="10"/>
        <rFont val="Helvetica"/>
      </rPr>
      <t xml:space="preserve"> = </t>
    </r>
  </si>
  <si>
    <r>
      <t>F</t>
    </r>
    <r>
      <rPr>
        <vertAlign val="subscript"/>
        <sz val="10"/>
        <rFont val="Helvetica"/>
      </rPr>
      <t>y</t>
    </r>
    <r>
      <rPr>
        <sz val="10"/>
        <rFont val="Helvetica"/>
      </rPr>
      <t xml:space="preserve"> =</t>
    </r>
  </si>
  <si>
    <t>Sum</t>
  </si>
  <si>
    <r>
      <t>V</t>
    </r>
    <r>
      <rPr>
        <vertAlign val="subscript"/>
        <sz val="10"/>
        <rFont val="Helvetica"/>
      </rPr>
      <t>u</t>
    </r>
    <r>
      <rPr>
        <sz val="10"/>
        <rFont val="Helvetica"/>
      </rPr>
      <t xml:space="preserve"> =</t>
    </r>
  </si>
  <si>
    <r>
      <t>v</t>
    </r>
    <r>
      <rPr>
        <vertAlign val="subscript"/>
        <sz val="10"/>
        <rFont val="Helvetica"/>
      </rPr>
      <t>c</t>
    </r>
    <r>
      <rPr>
        <sz val="10"/>
        <rFont val="Helvetica"/>
      </rPr>
      <t xml:space="preserve"> =</t>
    </r>
  </si>
  <si>
    <r>
      <t>b</t>
    </r>
    <r>
      <rPr>
        <vertAlign val="subscript"/>
        <sz val="10"/>
        <rFont val="Helvetica"/>
      </rPr>
      <t>0</t>
    </r>
    <r>
      <rPr>
        <sz val="10"/>
        <rFont val="Helvetica"/>
      </rPr>
      <t xml:space="preserve"> =</t>
    </r>
  </si>
  <si>
    <r>
      <t>ФV</t>
    </r>
    <r>
      <rPr>
        <vertAlign val="subscript"/>
        <sz val="10"/>
        <rFont val="Helvetica"/>
      </rPr>
      <t>n</t>
    </r>
    <r>
      <rPr>
        <sz val="10"/>
        <rFont val="Helvetica"/>
      </rPr>
      <t xml:space="preserve"> =</t>
    </r>
  </si>
  <si>
    <r>
      <t>=0.85*v</t>
    </r>
    <r>
      <rPr>
        <vertAlign val="subscript"/>
        <sz val="10"/>
        <rFont val="Helvetica"/>
      </rPr>
      <t>c</t>
    </r>
    <r>
      <rPr>
        <sz val="10"/>
        <rFont val="Helvetica"/>
      </rPr>
      <t>*b</t>
    </r>
    <r>
      <rPr>
        <vertAlign val="subscript"/>
        <sz val="10"/>
        <rFont val="Helvetica"/>
      </rPr>
      <t>0</t>
    </r>
    <r>
      <rPr>
        <sz val="10"/>
        <rFont val="Helvetica"/>
      </rPr>
      <t>*d</t>
    </r>
  </si>
  <si>
    <r>
      <t>= D-d</t>
    </r>
    <r>
      <rPr>
        <vertAlign val="subscript"/>
        <sz val="10"/>
        <rFont val="Helvetica"/>
      </rPr>
      <t>c</t>
    </r>
    <r>
      <rPr>
        <sz val="10"/>
        <rFont val="Helvetica"/>
      </rPr>
      <t>-1", to account for bar</t>
    </r>
  </si>
  <si>
    <r>
      <t>= 4*sqrt(f'</t>
    </r>
    <r>
      <rPr>
        <vertAlign val="subscript"/>
        <sz val="10"/>
        <rFont val="Helvetica"/>
      </rPr>
      <t>c</t>
    </r>
    <r>
      <rPr>
        <sz val="10"/>
        <rFont val="Helvetica"/>
      </rPr>
      <t>)</t>
    </r>
  </si>
  <si>
    <r>
      <t>b</t>
    </r>
    <r>
      <rPr>
        <vertAlign val="subscript"/>
        <sz val="10"/>
        <rFont val="Helvetica"/>
      </rPr>
      <t>s</t>
    </r>
    <r>
      <rPr>
        <sz val="10"/>
        <rFont val="Helvetica"/>
      </rPr>
      <t xml:space="preserve"> =</t>
    </r>
  </si>
  <si>
    <r>
      <t>=0.85*v</t>
    </r>
    <r>
      <rPr>
        <vertAlign val="subscript"/>
        <sz val="10"/>
        <rFont val="Helvetica"/>
      </rPr>
      <t>c</t>
    </r>
    <r>
      <rPr>
        <sz val="10"/>
        <rFont val="Helvetica"/>
      </rPr>
      <t>*b</t>
    </r>
    <r>
      <rPr>
        <vertAlign val="subscript"/>
        <sz val="10"/>
        <rFont val="Helvetica"/>
      </rPr>
      <t>s</t>
    </r>
    <r>
      <rPr>
        <sz val="10"/>
        <rFont val="Helvetica"/>
      </rPr>
      <t>*d</t>
    </r>
  </si>
  <si>
    <r>
      <t>V</t>
    </r>
    <r>
      <rPr>
        <vertAlign val="subscript"/>
        <sz val="10"/>
        <rFont val="Helvetica"/>
      </rPr>
      <t>u</t>
    </r>
    <r>
      <rPr>
        <sz val="10"/>
        <rFont val="Helvetica"/>
      </rPr>
      <t xml:space="preserve"> in X =</t>
    </r>
  </si>
  <si>
    <r>
      <t>M</t>
    </r>
    <r>
      <rPr>
        <vertAlign val="subscript"/>
        <sz val="10"/>
        <rFont val="Helvetica"/>
      </rPr>
      <t>u</t>
    </r>
    <r>
      <rPr>
        <sz val="10"/>
        <rFont val="Helvetica"/>
      </rPr>
      <t xml:space="preserve"> =</t>
    </r>
  </si>
  <si>
    <r>
      <t>M</t>
    </r>
    <r>
      <rPr>
        <vertAlign val="subscript"/>
        <sz val="10"/>
        <rFont val="Helvetica"/>
      </rPr>
      <t>u</t>
    </r>
    <r>
      <rPr>
        <sz val="10"/>
        <rFont val="Helvetica"/>
      </rPr>
      <t>/(V</t>
    </r>
    <r>
      <rPr>
        <vertAlign val="subscript"/>
        <sz val="10"/>
        <rFont val="Helvetica"/>
      </rPr>
      <t>u</t>
    </r>
    <r>
      <rPr>
        <sz val="10"/>
        <rFont val="Helvetica"/>
      </rPr>
      <t>*d) =</t>
    </r>
  </si>
  <si>
    <r>
      <t>=0.85*v</t>
    </r>
    <r>
      <rPr>
        <vertAlign val="subscript"/>
        <sz val="10"/>
        <rFont val="Helvetica"/>
      </rPr>
      <t>c</t>
    </r>
    <r>
      <rPr>
        <sz val="10"/>
        <rFont val="Helvetica"/>
      </rPr>
      <t>*b</t>
    </r>
    <r>
      <rPr>
        <sz val="10"/>
        <rFont val="Helvetica"/>
      </rPr>
      <t>*d</t>
    </r>
  </si>
  <si>
    <r>
      <t>V</t>
    </r>
    <r>
      <rPr>
        <vertAlign val="subscript"/>
        <sz val="10"/>
        <rFont val="Helvetica"/>
      </rPr>
      <t>u</t>
    </r>
    <r>
      <rPr>
        <sz val="10"/>
        <rFont val="Helvetica"/>
      </rPr>
      <t xml:space="preserve"> in Y =</t>
    </r>
  </si>
  <si>
    <t>= pi()*(Dia+d)</t>
  </si>
  <si>
    <t>= pi()*(Dia+d) + 2*E</t>
  </si>
  <si>
    <t>= pi()*(Dia+d)/4 + 2*E</t>
  </si>
  <si>
    <t>= sqrt(2)*(d+Dia/2+sqrt(2)*E)</t>
  </si>
  <si>
    <r>
      <t>Distributed M</t>
    </r>
    <r>
      <rPr>
        <vertAlign val="subscript"/>
        <sz val="10"/>
        <rFont val="Helvetica"/>
      </rPr>
      <t>u</t>
    </r>
    <r>
      <rPr>
        <sz val="10"/>
        <rFont val="Helvetica"/>
      </rPr>
      <t xml:space="preserve"> =</t>
    </r>
  </si>
  <si>
    <r>
      <t>= D-d</t>
    </r>
    <r>
      <rPr>
        <vertAlign val="subscript"/>
        <sz val="10"/>
        <rFont val="Helvetica"/>
      </rPr>
      <t>c</t>
    </r>
    <r>
      <rPr>
        <sz val="10"/>
        <rFont val="Helvetica"/>
      </rPr>
      <t>-(bar dia in X) - (bar dia in Y)</t>
    </r>
  </si>
  <si>
    <r>
      <t>A</t>
    </r>
    <r>
      <rPr>
        <vertAlign val="subscript"/>
        <sz val="10"/>
        <rFont val="Helvetica"/>
      </rPr>
      <t>s</t>
    </r>
    <r>
      <rPr>
        <sz val="10"/>
        <rFont val="Helvetica"/>
      </rPr>
      <t xml:space="preserve"> req for M</t>
    </r>
    <r>
      <rPr>
        <vertAlign val="subscript"/>
        <sz val="10"/>
        <rFont val="Helvetica"/>
      </rPr>
      <t>u</t>
    </r>
    <r>
      <rPr>
        <sz val="10"/>
        <rFont val="Helvetica"/>
      </rPr>
      <t xml:space="preserve"> =</t>
    </r>
  </si>
  <si>
    <r>
      <t>4/3 * A</t>
    </r>
    <r>
      <rPr>
        <vertAlign val="subscript"/>
        <sz val="10"/>
        <rFont val="Helvetica"/>
      </rPr>
      <t>s</t>
    </r>
    <r>
      <rPr>
        <sz val="10"/>
        <rFont val="Helvetica"/>
      </rPr>
      <t xml:space="preserve"> req for M</t>
    </r>
    <r>
      <rPr>
        <vertAlign val="subscript"/>
        <sz val="10"/>
        <rFont val="Helvetica"/>
      </rPr>
      <t>u</t>
    </r>
    <r>
      <rPr>
        <sz val="10"/>
        <rFont val="Helvetica"/>
      </rPr>
      <t xml:space="preserve">  =</t>
    </r>
  </si>
  <si>
    <r>
      <t>A</t>
    </r>
    <r>
      <rPr>
        <vertAlign val="subscript"/>
        <sz val="10"/>
        <rFont val="Helvetica"/>
      </rPr>
      <t>s</t>
    </r>
    <r>
      <rPr>
        <sz val="10"/>
        <rFont val="Helvetica"/>
      </rPr>
      <t xml:space="preserve"> req =</t>
    </r>
  </si>
  <si>
    <r>
      <t>f'c=3000psi, As=0.51*d*(1-sqrt(1-0.0726*M</t>
    </r>
    <r>
      <rPr>
        <vertAlign val="subscript"/>
        <sz val="10"/>
        <rFont val="Helvetica"/>
      </rPr>
      <t>u</t>
    </r>
    <r>
      <rPr>
        <sz val="10"/>
        <rFont val="Helvetica"/>
      </rPr>
      <t>/d/d))</t>
    </r>
  </si>
  <si>
    <r>
      <rPr>
        <sz val="10"/>
        <rFont val="Calibri"/>
        <family val="2"/>
      </rPr>
      <t>ρ</t>
    </r>
    <r>
      <rPr>
        <sz val="10"/>
        <rFont val="Helvetica"/>
      </rPr>
      <t xml:space="preserve"> provided =</t>
    </r>
  </si>
  <si>
    <t>X Rebar Representative</t>
  </si>
  <si>
    <t>Y Rebar Representative</t>
  </si>
  <si>
    <t>X Dim</t>
  </si>
  <si>
    <t>Y Dim</t>
  </si>
  <si>
    <t>Proposed Reinf: number and size of bottom bars</t>
  </si>
  <si>
    <t>4. Pile Cap Design Summary:</t>
  </si>
  <si>
    <t>Enlarged Pile Cap For Scaling</t>
  </si>
  <si>
    <t>max*1.1</t>
  </si>
  <si>
    <t>Spacing =</t>
  </si>
  <si>
    <t>Input Data:</t>
  </si>
  <si>
    <r>
      <t>Number of Piles, N</t>
    </r>
    <r>
      <rPr>
        <vertAlign val="subscript"/>
        <sz val="10"/>
        <rFont val="Helvetica"/>
      </rPr>
      <t>p</t>
    </r>
    <r>
      <rPr>
        <sz val="10"/>
        <rFont val="Helvetica"/>
      </rPr>
      <t xml:space="preserve"> =</t>
    </r>
  </si>
  <si>
    <r>
      <t>Y</t>
    </r>
    <r>
      <rPr>
        <vertAlign val="subscript"/>
        <sz val="10"/>
        <rFont val="Helvetica"/>
      </rPr>
      <t>o</t>
    </r>
    <r>
      <rPr>
        <sz val="10"/>
        <rFont val="Helvetica"/>
      </rPr>
      <t>(ft)</t>
    </r>
  </si>
  <si>
    <r>
      <t>X</t>
    </r>
    <r>
      <rPr>
        <vertAlign val="subscript"/>
        <sz val="10"/>
        <rFont val="Helvetica"/>
      </rPr>
      <t>o</t>
    </r>
    <r>
      <rPr>
        <sz val="10"/>
        <rFont val="Helvetica"/>
      </rPr>
      <t>(ft)</t>
    </r>
  </si>
  <si>
    <r>
      <t>in</t>
    </r>
    <r>
      <rPr>
        <vertAlign val="superscript"/>
        <sz val="10"/>
        <rFont val="Helvetica"/>
      </rPr>
      <t>2</t>
    </r>
    <r>
      <rPr>
        <sz val="10"/>
        <rFont val="Helvetica"/>
      </rPr>
      <t>/ft</t>
    </r>
  </si>
  <si>
    <r>
      <t>in</t>
    </r>
    <r>
      <rPr>
        <vertAlign val="superscript"/>
        <sz val="10"/>
        <rFont val="Helvetica"/>
      </rPr>
      <t>2</t>
    </r>
  </si>
  <si>
    <t>sum of all pile forces to the top of d from column face</t>
  </si>
  <si>
    <r>
      <t>= (d/w) * (3.5-2.5*M</t>
    </r>
    <r>
      <rPr>
        <vertAlign val="subscript"/>
        <sz val="10"/>
        <rFont val="Helvetica"/>
      </rPr>
      <t>u</t>
    </r>
    <r>
      <rPr>
        <sz val="10"/>
        <rFont val="Helvetica"/>
      </rPr>
      <t>/(V</t>
    </r>
    <r>
      <rPr>
        <vertAlign val="subscript"/>
        <sz val="10"/>
        <rFont val="Helvetica"/>
      </rPr>
      <t>u</t>
    </r>
    <r>
      <rPr>
        <sz val="10"/>
        <rFont val="Helvetica"/>
      </rPr>
      <t>*d)) * (1.9*sqrt(f'</t>
    </r>
    <r>
      <rPr>
        <vertAlign val="subscript"/>
        <sz val="10"/>
        <rFont val="Helvetica"/>
      </rPr>
      <t>c</t>
    </r>
    <r>
      <rPr>
        <sz val="10"/>
        <rFont val="Helvetica"/>
      </rPr>
      <t>)+0.1*sqrt(f'</t>
    </r>
    <r>
      <rPr>
        <vertAlign val="subscript"/>
        <sz val="10"/>
        <rFont val="Helvetica"/>
      </rPr>
      <t>c</t>
    </r>
    <r>
      <rPr>
        <sz val="10"/>
        <rFont val="Helvetica"/>
      </rPr>
      <t>)*V</t>
    </r>
    <r>
      <rPr>
        <vertAlign val="subscript"/>
        <sz val="10"/>
        <rFont val="Helvetica"/>
      </rPr>
      <t>u</t>
    </r>
    <r>
      <rPr>
        <sz val="10"/>
        <rFont val="Helvetica"/>
      </rPr>
      <t>*d/M</t>
    </r>
    <r>
      <rPr>
        <vertAlign val="subscript"/>
        <sz val="10"/>
        <rFont val="Helvetica"/>
      </rPr>
      <t>u</t>
    </r>
    <r>
      <rPr>
        <sz val="10"/>
        <rFont val="Helvetica"/>
      </rPr>
      <t>) &lt; 10*sqrt(f'</t>
    </r>
    <r>
      <rPr>
        <vertAlign val="subscript"/>
        <sz val="10"/>
        <rFont val="Helvetica"/>
      </rPr>
      <t>c</t>
    </r>
    <r>
      <rPr>
        <sz val="10"/>
        <rFont val="Helvetica"/>
      </rPr>
      <t xml:space="preserve">) and &gt; 2*sqrt(f'c) </t>
    </r>
  </si>
  <si>
    <t>The following check only applies when w&lt;d/2 exists.</t>
  </si>
  <si>
    <t>The following check only applies when w&lt;d exists.</t>
  </si>
  <si>
    <t xml:space="preserve">min dist from Pile CL to Col CL in Y = </t>
  </si>
  <si>
    <r>
      <t>A</t>
    </r>
    <r>
      <rPr>
        <vertAlign val="subscript"/>
        <sz val="10"/>
        <rFont val="Helvetica"/>
      </rPr>
      <t xml:space="preserve">v </t>
    </r>
    <r>
      <rPr>
        <sz val="10"/>
        <rFont val="Helvetica"/>
      </rPr>
      <t>=</t>
    </r>
  </si>
  <si>
    <r>
      <t>V</t>
    </r>
    <r>
      <rPr>
        <vertAlign val="subscript"/>
        <sz val="10"/>
        <rFont val="Arial"/>
        <family val="2"/>
      </rPr>
      <t>s</t>
    </r>
    <r>
      <rPr>
        <sz val="10"/>
        <rFont val="Arial"/>
        <family val="2"/>
      </rPr>
      <t xml:space="preserve"> =</t>
    </r>
  </si>
  <si>
    <t>consider shear reinforcement</t>
  </si>
  <si>
    <t>yes</t>
  </si>
  <si>
    <t>no</t>
  </si>
  <si>
    <r>
      <t>= 0.85*v</t>
    </r>
    <r>
      <rPr>
        <vertAlign val="subscript"/>
        <sz val="10"/>
        <rFont val="Helvetica"/>
      </rPr>
      <t>c</t>
    </r>
    <r>
      <rPr>
        <sz val="10"/>
        <rFont val="Helvetica"/>
      </rPr>
      <t>*b*d</t>
    </r>
  </si>
  <si>
    <r>
      <t>= A</t>
    </r>
    <r>
      <rPr>
        <vertAlign val="subscript"/>
        <sz val="10"/>
        <rFont val="Helvetica"/>
      </rPr>
      <t>s</t>
    </r>
    <r>
      <rPr>
        <sz val="10"/>
        <rFont val="Helvetica"/>
      </rPr>
      <t>*F</t>
    </r>
    <r>
      <rPr>
        <vertAlign val="subscript"/>
        <sz val="10"/>
        <rFont val="Helvetica"/>
      </rPr>
      <t>y</t>
    </r>
    <r>
      <rPr>
        <sz val="10"/>
        <rFont val="Helvetica"/>
      </rPr>
      <t>*d/s</t>
    </r>
  </si>
  <si>
    <r>
      <t>= A</t>
    </r>
    <r>
      <rPr>
        <vertAlign val="subscript"/>
        <sz val="10"/>
        <rFont val="Helvetica"/>
      </rPr>
      <t>s</t>
    </r>
    <r>
      <rPr>
        <sz val="10"/>
        <rFont val="Helvetica"/>
      </rPr>
      <t>*F</t>
    </r>
    <r>
      <rPr>
        <vertAlign val="subscript"/>
        <sz val="10"/>
        <rFont val="Helvetica"/>
      </rPr>
      <t>y</t>
    </r>
    <r>
      <rPr>
        <sz val="10"/>
        <rFont val="Helvetica"/>
      </rPr>
      <t>*d/s *(1+w/d)/12</t>
    </r>
  </si>
  <si>
    <r>
      <t>4/3 * A</t>
    </r>
    <r>
      <rPr>
        <vertAlign val="subscript"/>
        <sz val="10"/>
        <rFont val="Helvetica"/>
      </rPr>
      <t>s</t>
    </r>
    <r>
      <rPr>
        <sz val="10"/>
        <rFont val="Helvetica"/>
      </rPr>
      <t xml:space="preserve"> req for M</t>
    </r>
    <r>
      <rPr>
        <vertAlign val="subscript"/>
        <sz val="10"/>
        <rFont val="Helvetica"/>
      </rPr>
      <t>u</t>
    </r>
    <r>
      <rPr>
        <sz val="10"/>
        <rFont val="Helvetica"/>
      </rPr>
      <t xml:space="preserve"> =</t>
    </r>
  </si>
  <si>
    <t>in =</t>
  </si>
  <si>
    <t>@</t>
  </si>
  <si>
    <t>This spreadsheet assists shear and flexural design of a rigid square pile cap. It assumes all pile forces are known and axial only, and the layout is doubly symmetric. Normal weight concrete is assumed for shear capacity calculations. Finally, the user should check development length to make sure hooks/headed bars in the pile cap are properly developed.</t>
  </si>
  <si>
    <t>per CRSI 13-21, 
E = 
15in for P&lt;60ton; 
21in for 60ton&lt;P&lt;120ton; 27in for 120ton&lt;P&lt;200ton; 30in for P&gt;200ton</t>
  </si>
  <si>
    <t>Moment arms are taken from mid-point between the column center and the column face.</t>
  </si>
  <si>
    <t>Pile Moment to CL + tolerances</t>
  </si>
  <si>
    <t>Pile Moment to midpoint b/t CL and col face+ tolerances</t>
  </si>
  <si>
    <t>As req for uniform spacing =</t>
  </si>
  <si>
    <t xml:space="preserve">N = </t>
  </si>
  <si>
    <t>0.0018*1ft*D  =</t>
  </si>
  <si>
    <t xml:space="preserve">0.0033*1ft*d = </t>
  </si>
  <si>
    <t>Max</t>
  </si>
  <si>
    <t>f'c=4000psi, As=0.68*d*(1-sqrt(1-0.0545*Mu/d/d))</t>
  </si>
  <si>
    <t>f'c=5000psi, As=0.85*d*(1-sqrt(1-0.0436*Mu/d/d))</t>
  </si>
  <si>
    <t>f'c=6000psi, As=1.02*d*(1-sqrt(1-0.03631*Mu/d/d))</t>
  </si>
  <si>
    <t>Muy by Left Piles</t>
  </si>
  <si>
    <t>Muy by Right Piles</t>
  </si>
  <si>
    <t>Mux by Top Piles</t>
  </si>
  <si>
    <t>Mux by Bottom Piles</t>
  </si>
  <si>
    <t>The purpose of this design aid is to assist LERA engineers in the shear and flexural design of a rigid square pile cap.</t>
  </si>
  <si>
    <t>1. ASSUMPTIONS &amp; LIMITATIONS:</t>
  </si>
  <si>
    <t>This aid assumes all pile forces are known and axial only, and the layout is doubly symmetric. Normal weight concrete is assumed for shear capacity calculations. Finally, the user should check development length to make sure hooks/headed bars in the pile cap are properly developed.</t>
  </si>
  <si>
    <t>Checks are included for two-way corbels and one-way deep beams, but special attention should be paid whenever these checks are necessary (i.e. when a pile is within d/2 of the column face).</t>
  </si>
  <si>
    <t xml:space="preserve">The following parameters are based on CSRI Design Handbook 2008 (10e) Ch. 13 and Ch. 5. This, in turn, is based on ACI 318-99. Whenever possible, references to specific sections, figures, and tables are given in the margins. </t>
  </si>
  <si>
    <t>Description</t>
  </si>
  <si>
    <t>I. PURPOSE</t>
  </si>
  <si>
    <t>II. USE</t>
  </si>
  <si>
    <t>III. DESIGN DOCUMENT</t>
  </si>
  <si>
    <t>IV. ASSUMPTIONS AND LIMITATIONS</t>
  </si>
  <si>
    <t>1)</t>
  </si>
  <si>
    <t>2)</t>
  </si>
  <si>
    <t>3)</t>
  </si>
  <si>
    <t>Flexural reinforcement</t>
  </si>
  <si>
    <t>Concrete Strength</t>
  </si>
  <si>
    <t>Pile Diameter, dp =</t>
  </si>
  <si>
    <t>CUSTOM</t>
  </si>
  <si>
    <t>Load (kip)</t>
  </si>
  <si>
    <t>inches  =</t>
  </si>
  <si>
    <t>3A. Pile Cap Shear Design:</t>
  </si>
  <si>
    <t>3. ANALYSIS and DESIGN CHECKS:</t>
  </si>
  <si>
    <t>2. INPUT LOAD and MEMBER PROPERTIES:</t>
  </si>
  <si>
    <r>
      <rPr>
        <b/>
        <i/>
        <sz val="10"/>
        <rFont val="Helvetica"/>
      </rPr>
      <t>w</t>
    </r>
    <r>
      <rPr>
        <sz val="10"/>
        <rFont val="Helvetica"/>
      </rPr>
      <t xml:space="preserve"> is defined as the distance between col face to the closest pile CL</t>
    </r>
  </si>
  <si>
    <r>
      <t xml:space="preserve">Shear-Section 2: </t>
    </r>
    <r>
      <rPr>
        <u/>
        <sz val="11"/>
        <rFont val="Helvetica"/>
      </rPr>
      <t>one-way @ column</t>
    </r>
  </si>
  <si>
    <r>
      <t xml:space="preserve">Shear-Section 1: </t>
    </r>
    <r>
      <rPr>
        <u/>
        <sz val="11"/>
        <rFont val="Helvetica"/>
      </rPr>
      <t>two-way, punching @ column</t>
    </r>
  </si>
  <si>
    <t>= 4*(c+d)</t>
  </si>
  <si>
    <t>= sum of rxns outside punching shear perimeter d/2</t>
  </si>
  <si>
    <t xml:space="preserve">w = </t>
  </si>
  <si>
    <t>3B. Pile Cap Flexural Design:</t>
  </si>
  <si>
    <t>(w + tol) / (d/2) =</t>
  </si>
  <si>
    <t>(w + tol) / d =</t>
  </si>
  <si>
    <r>
      <t xml:space="preserve">Shear-Section 3: </t>
    </r>
    <r>
      <rPr>
        <u/>
        <sz val="11"/>
        <rFont val="Helvetica"/>
      </rPr>
      <t>two way, punching @ pile</t>
    </r>
  </si>
  <si>
    <r>
      <t xml:space="preserve">Shear-Section 4:  </t>
    </r>
    <r>
      <rPr>
        <u/>
        <sz val="11"/>
        <rFont val="Helvetica"/>
      </rPr>
      <t>two way, punching @ a pair of piles</t>
    </r>
  </si>
  <si>
    <r>
      <t xml:space="preserve">Shear-Section 5: </t>
    </r>
    <r>
      <rPr>
        <u/>
        <sz val="11"/>
        <rFont val="Helvetica"/>
      </rPr>
      <t>two way, punching @ corner pile</t>
    </r>
  </si>
  <si>
    <r>
      <t xml:space="preserve">Shear-Section 6: </t>
    </r>
    <r>
      <rPr>
        <u/>
        <sz val="11"/>
        <rFont val="Helvetica"/>
      </rPr>
      <t>one way @  corner pile</t>
    </r>
  </si>
  <si>
    <t>X-Oriented Rebar</t>
  </si>
  <si>
    <t>Y-Oriented Rebar</t>
  </si>
  <si>
    <r>
      <rPr>
        <sz val="10"/>
        <rFont val="Helvetica"/>
      </rPr>
      <t>V</t>
    </r>
    <r>
      <rPr>
        <vertAlign val="subscript"/>
        <sz val="10"/>
        <rFont val="Helvetica"/>
      </rPr>
      <t xml:space="preserve">u </t>
    </r>
    <r>
      <rPr>
        <sz val="10"/>
        <rFont val="Helvetica"/>
      </rPr>
      <t xml:space="preserve"> = </t>
    </r>
    <r>
      <rPr>
        <vertAlign val="subscript"/>
        <sz val="10"/>
        <rFont val="Helvetica"/>
      </rPr>
      <t xml:space="preserve"> </t>
    </r>
  </si>
  <si>
    <t>kip &lt;-------</t>
  </si>
  <si>
    <t>per CRSI 5-3, As where Mu is in kip in/ft, 60ksi fy:</t>
  </si>
  <si>
    <r>
      <t xml:space="preserve">β </t>
    </r>
    <r>
      <rPr>
        <sz val="9"/>
        <rFont val="Calibri"/>
        <family val="2"/>
      </rPr>
      <t>(long/ short)</t>
    </r>
  </si>
  <si>
    <t>Column1</t>
  </si>
  <si>
    <t>Column2</t>
  </si>
  <si>
    <t>P_8</t>
  </si>
  <si>
    <t>P_20</t>
  </si>
  <si>
    <t>P_12</t>
  </si>
  <si>
    <t>DO NOT TOUCH THE CELLS ON THIS SIDE OF THE SHEET, THEY ARE BEING REFERENCED BY THE PILE LAYOUT SHEET</t>
  </si>
  <si>
    <t>P_2</t>
  </si>
  <si>
    <t>npChoices</t>
  </si>
  <si>
    <t>npNames</t>
  </si>
  <si>
    <t>P_3</t>
  </si>
  <si>
    <t>P_4</t>
  </si>
  <si>
    <t>P_5</t>
  </si>
  <si>
    <t>P_6</t>
  </si>
  <si>
    <t>P_7</t>
  </si>
  <si>
    <t>P_9</t>
  </si>
  <si>
    <t>P_10</t>
  </si>
  <si>
    <t>P_11</t>
  </si>
  <si>
    <t>P_13</t>
  </si>
  <si>
    <t>P_14</t>
  </si>
  <si>
    <t>P_15</t>
  </si>
  <si>
    <t>P_16</t>
  </si>
  <si>
    <t>P_17</t>
  </si>
  <si>
    <t>P_18</t>
  </si>
  <si>
    <t>P_19</t>
  </si>
  <si>
    <t>P_21</t>
  </si>
  <si>
    <t>P_22</t>
  </si>
  <si>
    <t>P_23</t>
  </si>
  <si>
    <t>P_24</t>
  </si>
  <si>
    <t>If you are editing this document in the future, make sure that the tops of all tables are aligned</t>
  </si>
  <si>
    <t>Pile Service Load (Ton) =</t>
  </si>
  <si>
    <t>per CRSI 13-21, minimum clr = 2ft = 24" + dp, minimum c-c = 3ft</t>
  </si>
  <si>
    <t>P_25</t>
  </si>
  <si>
    <t>If no pre-designed caps fit the requirements, then:</t>
  </si>
  <si>
    <t xml:space="preserve">2) </t>
  </si>
  <si>
    <t>4)</t>
  </si>
  <si>
    <t xml:space="preserve">Spacing min: </t>
  </si>
  <si>
    <t xml:space="preserve">Spacing, L: </t>
  </si>
  <si>
    <t>5)</t>
  </si>
  <si>
    <t xml:space="preserve">Analysis and Design Checks: </t>
  </si>
  <si>
    <t>INPUT LOAD and MEMBER PROPERTIES:</t>
  </si>
  <si>
    <r>
      <t xml:space="preserve">Pile Spacing Check: </t>
    </r>
    <r>
      <rPr>
        <sz val="10"/>
        <rFont val="Helvetica"/>
      </rPr>
      <t xml:space="preserve">The user should enter the pile spacing in (E103), at least the minimum spacing given in (E102). </t>
    </r>
  </si>
  <si>
    <r>
      <t xml:space="preserve">(B43-C43) </t>
    </r>
    <r>
      <rPr>
        <b/>
        <sz val="10"/>
        <rFont val="Helvetica"/>
      </rPr>
      <t>Column Coordinates</t>
    </r>
    <r>
      <rPr>
        <sz val="10"/>
        <rFont val="Helvetica"/>
      </rPr>
      <t>: if the column is offset from the center of the pilecap, enter the dimensions here.</t>
    </r>
  </si>
  <si>
    <t>3A)</t>
  </si>
  <si>
    <t>6)</t>
  </si>
  <si>
    <t>3B)</t>
  </si>
  <si>
    <r>
      <t xml:space="preserve">Pile Cap Design Summary: </t>
    </r>
    <r>
      <rPr>
        <sz val="10"/>
        <rFont val="Helvetica"/>
      </rPr>
      <t xml:space="preserve">A summary of design is given at the end for easy reference. </t>
    </r>
  </si>
  <si>
    <t>V. PROCEDURE</t>
  </si>
  <si>
    <t>max pile reaction</t>
  </si>
  <si>
    <t>2*max reaction</t>
  </si>
  <si>
    <r>
      <t>in</t>
    </r>
    <r>
      <rPr>
        <vertAlign val="superscript"/>
        <sz val="10"/>
        <rFont val="Helvetica"/>
      </rPr>
      <t>2</t>
    </r>
    <r>
      <rPr>
        <sz val="10"/>
        <rFont val="Helvetica"/>
      </rPr>
      <t>/ft    =</t>
    </r>
  </si>
  <si>
    <t>in2/ft    =</t>
  </si>
  <si>
    <t>The pile cap plan below is updated according to the input information above and reflects the coordinates of the column, the piles, and the pile cap. An extra cap may sometimes appear below the column due to excel plotting constraints. This extra cap will not be taken into account for design.</t>
  </si>
  <si>
    <t xml:space="preserve">Check the pile cap plan at (D80) for accuracy. </t>
  </si>
  <si>
    <r>
      <t xml:space="preserve">Pile Cap Shear Design: </t>
    </r>
    <r>
      <rPr>
        <sz val="10"/>
        <rFont val="Helvetica"/>
      </rPr>
      <t xml:space="preserve">Sections are shown in the figure at the top of the section. For each section </t>
    </r>
    <r>
      <rPr>
        <i/>
        <sz val="10"/>
        <rFont val="Helvetica"/>
      </rPr>
      <t>Vu</t>
    </r>
    <r>
      <rPr>
        <sz val="10"/>
        <rFont val="Helvetica"/>
      </rPr>
      <t xml:space="preserve"> must be less than </t>
    </r>
    <r>
      <rPr>
        <i/>
        <sz val="10"/>
        <rFont val="Calibri"/>
        <family val="2"/>
      </rPr>
      <t>Φ</t>
    </r>
    <r>
      <rPr>
        <i/>
        <sz val="10"/>
        <rFont val="Helvetica"/>
      </rPr>
      <t>Vn</t>
    </r>
    <r>
      <rPr>
        <sz val="10"/>
        <rFont val="Helvetica"/>
      </rPr>
      <t xml:space="preserve">. In the case that one of these checks fails, the design can be updated with one or more of the following: a) increasing pilecap depth, b) increasing concrete strength, c) adding steel reinforcement, d) increasing column size, e) increasing pilecap size. </t>
    </r>
  </si>
  <si>
    <r>
      <t xml:space="preserve">Two-Way Punching Shear @ Pile: </t>
    </r>
    <r>
      <rPr>
        <sz val="10"/>
        <rFont val="Helvetica"/>
      </rPr>
      <t>Check (G297) and adjust cap depth, concrete strength, or pile diameter if "</t>
    </r>
    <r>
      <rPr>
        <sz val="10"/>
        <color rgb="FFFF0000"/>
        <rFont val="Helvetica"/>
      </rPr>
      <t>NG</t>
    </r>
    <r>
      <rPr>
        <sz val="10"/>
        <rFont val="Helvetica"/>
      </rPr>
      <t>".</t>
    </r>
  </si>
  <si>
    <r>
      <t xml:space="preserve">Two-Way Punching Shear @ a Pair of Piles: </t>
    </r>
    <r>
      <rPr>
        <sz val="10"/>
        <rFont val="Helvetica"/>
      </rPr>
      <t>Check (G304) and adjust cap depth, concrete strength, spacing, or pile diameter if "</t>
    </r>
    <r>
      <rPr>
        <sz val="10"/>
        <color rgb="FFFF0000"/>
        <rFont val="Helvetica"/>
      </rPr>
      <t>NG</t>
    </r>
    <r>
      <rPr>
        <sz val="10"/>
        <rFont val="Helvetica"/>
      </rPr>
      <t>".</t>
    </r>
  </si>
  <si>
    <r>
      <t xml:space="preserve">Two-Way Punching Shear @ Corner Pile: </t>
    </r>
    <r>
      <rPr>
        <sz val="10"/>
        <rFont val="Helvetica"/>
      </rPr>
      <t>Check (G311) and adjust cap depth, concrete strength, edge distance, or pile diameter if "</t>
    </r>
    <r>
      <rPr>
        <sz val="10"/>
        <color rgb="FFFF0000"/>
        <rFont val="Helvetica"/>
      </rPr>
      <t>NG</t>
    </r>
    <r>
      <rPr>
        <sz val="10"/>
        <rFont val="Helvetica"/>
      </rPr>
      <t>".</t>
    </r>
  </si>
  <si>
    <r>
      <t xml:space="preserve">Fields shaded in </t>
    </r>
    <r>
      <rPr>
        <b/>
        <sz val="10"/>
        <rFont val="Helvetica"/>
      </rPr>
      <t>yellow</t>
    </r>
    <r>
      <rPr>
        <sz val="10"/>
        <rFont val="Helvetica"/>
      </rPr>
      <t xml:space="preserve"> indicate </t>
    </r>
    <r>
      <rPr>
        <b/>
        <sz val="10"/>
        <rFont val="Helvetica"/>
      </rPr>
      <t>user-input</t>
    </r>
    <r>
      <rPr>
        <sz val="10"/>
        <rFont val="Helvetica"/>
      </rPr>
      <t xml:space="preserve"> values. Fields shaded in</t>
    </r>
    <r>
      <rPr>
        <b/>
        <sz val="10"/>
        <rFont val="Helvetica"/>
      </rPr>
      <t xml:space="preserve"> yellow with a black border </t>
    </r>
    <r>
      <rPr>
        <sz val="10"/>
        <rFont val="Helvetica"/>
      </rPr>
      <t>indicate user input values with a</t>
    </r>
    <r>
      <rPr>
        <b/>
        <sz val="10"/>
        <rFont val="Helvetica"/>
      </rPr>
      <t xml:space="preserve"> drop-down list</t>
    </r>
    <r>
      <rPr>
        <sz val="10"/>
        <rFont val="Helvetica"/>
      </rPr>
      <t xml:space="preserve"> of values.</t>
    </r>
  </si>
  <si>
    <r>
      <t xml:space="preserve">Cells marked with a </t>
    </r>
    <r>
      <rPr>
        <sz val="10"/>
        <color rgb="FFFF0000"/>
        <rFont val="Helvetica"/>
      </rPr>
      <t>red triangle</t>
    </r>
    <r>
      <rPr>
        <sz val="10"/>
        <rFont val="Helvetica"/>
      </rPr>
      <t xml:space="preserve"> in the upper right corner have </t>
    </r>
    <r>
      <rPr>
        <sz val="10"/>
        <color rgb="FFFF0000"/>
        <rFont val="Helvetica"/>
      </rPr>
      <t>comments</t>
    </r>
    <r>
      <rPr>
        <sz val="10"/>
        <rFont val="Helvetica"/>
      </rPr>
      <t xml:space="preserve"> that can be accessed by hovering the mouse over the cell.</t>
    </r>
  </si>
  <si>
    <r>
      <t>Additionally, many of these tables and references are given in the</t>
    </r>
    <r>
      <rPr>
        <b/>
        <sz val="10"/>
        <color rgb="FF00B0F0"/>
        <rFont val="Helvetica"/>
      </rPr>
      <t xml:space="preserve"> BLUE-TABBED WORKSHEETS</t>
    </r>
    <r>
      <rPr>
        <sz val="10"/>
        <rFont val="Helvetica"/>
      </rPr>
      <t>, for convenience.</t>
    </r>
  </si>
  <si>
    <r>
      <t xml:space="preserve">(F45-F46) </t>
    </r>
    <r>
      <rPr>
        <b/>
        <sz val="10"/>
        <rFont val="Helvetica"/>
      </rPr>
      <t>Pile Coordinates:</t>
    </r>
    <r>
      <rPr>
        <sz val="10"/>
        <rFont val="Helvetica"/>
      </rPr>
      <t xml:space="preserve"> Choose the number of piles using the dropdown, and enter the service load (</t>
    </r>
    <r>
      <rPr>
        <b/>
        <sz val="10"/>
        <color rgb="FFFF9900"/>
        <rFont val="Helvetica"/>
      </rPr>
      <t>IN TONS</t>
    </r>
    <r>
      <rPr>
        <sz val="10"/>
        <rFont val="Helvetica"/>
      </rPr>
      <t xml:space="preserve">) on each pile. The </t>
    </r>
    <r>
      <rPr>
        <b/>
        <i/>
        <sz val="10"/>
        <rFont val="Helvetica"/>
      </rPr>
      <t>DESIGN</t>
    </r>
    <r>
      <rPr>
        <sz val="10"/>
        <rFont val="Helvetica"/>
      </rPr>
      <t xml:space="preserve"> list (B49-D73) will auto-populate with coordinates and loads in kips. </t>
    </r>
  </si>
  <si>
    <r>
      <t>If a custom layout is desired, the user should input the number of piles in (F45) and the location and load (</t>
    </r>
    <r>
      <rPr>
        <b/>
        <sz val="10"/>
        <color rgb="FFFF9900"/>
        <rFont val="Helvetica"/>
      </rPr>
      <t>IN KIPS</t>
    </r>
    <r>
      <rPr>
        <sz val="10"/>
        <rFont val="Helvetica"/>
      </rPr>
      <t xml:space="preserve">) in the </t>
    </r>
    <r>
      <rPr>
        <b/>
        <i/>
        <sz val="10"/>
        <rFont val="Helvetica"/>
      </rPr>
      <t>CUSTOM</t>
    </r>
    <r>
      <rPr>
        <i/>
        <sz val="10"/>
        <rFont val="Helvetica"/>
      </rPr>
      <t xml:space="preserve"> </t>
    </r>
    <r>
      <rPr>
        <sz val="10"/>
        <rFont val="Helvetica"/>
      </rPr>
      <t xml:space="preserve">list (G49-I73), which will automatically populate the </t>
    </r>
    <r>
      <rPr>
        <b/>
        <i/>
        <sz val="10"/>
        <rFont val="Helvetica"/>
      </rPr>
      <t>DESIGN</t>
    </r>
    <r>
      <rPr>
        <sz val="10"/>
        <rFont val="Helvetica"/>
      </rPr>
      <t xml:space="preserve"> list. </t>
    </r>
  </si>
  <si>
    <r>
      <t xml:space="preserve">One-Way Beam Shear @ Column: </t>
    </r>
    <r>
      <rPr>
        <sz val="10"/>
        <rFont val="Helvetica"/>
      </rPr>
      <t xml:space="preserve">Must be checked for both </t>
    </r>
    <r>
      <rPr>
        <b/>
        <sz val="10"/>
        <rFont val="Helvetica"/>
      </rPr>
      <t>X</t>
    </r>
    <r>
      <rPr>
        <sz val="10"/>
        <rFont val="Helvetica"/>
      </rPr>
      <t xml:space="preserve"> and</t>
    </r>
    <r>
      <rPr>
        <b/>
        <sz val="10"/>
        <rFont val="Helvetica"/>
      </rPr>
      <t xml:space="preserve"> Y</t>
    </r>
    <r>
      <rPr>
        <sz val="10"/>
        <rFont val="Helvetica"/>
      </rPr>
      <t>. If (G206) or (G260) show "</t>
    </r>
    <r>
      <rPr>
        <sz val="10"/>
        <color rgb="FFFF0000"/>
        <rFont val="Helvetica"/>
      </rPr>
      <t>NG</t>
    </r>
    <r>
      <rPr>
        <sz val="10"/>
        <rFont val="Helvetica"/>
      </rPr>
      <t>", then shear reinforcement must be added by picking "</t>
    </r>
    <r>
      <rPr>
        <b/>
        <sz val="10"/>
        <rFont val="Helvetica"/>
      </rPr>
      <t>yes</t>
    </r>
    <r>
      <rPr>
        <sz val="10"/>
        <rFont val="Helvetica"/>
      </rPr>
      <t>" from (E207) or (E261), respectively. The stirrup size and spacing can be chosen with (E207-E208) and (E262-E263) until (G212) or (G266) show "</t>
    </r>
    <r>
      <rPr>
        <sz val="10"/>
        <color rgb="FF00B050"/>
        <rFont val="Helvetica"/>
      </rPr>
      <t>OK</t>
    </r>
    <r>
      <rPr>
        <sz val="10"/>
        <rFont val="Helvetica"/>
      </rPr>
      <t xml:space="preserve">". Alternatively, </t>
    </r>
    <r>
      <rPr>
        <i/>
        <sz val="10"/>
        <rFont val="Helvetica"/>
      </rPr>
      <t>d</t>
    </r>
    <r>
      <rPr>
        <sz val="10"/>
        <rFont val="Helvetica"/>
      </rPr>
      <t xml:space="preserve"> can be increased. </t>
    </r>
  </si>
  <si>
    <r>
      <t xml:space="preserve">In addition to the typical one-way shear check, if there are any piles centered within </t>
    </r>
    <r>
      <rPr>
        <i/>
        <sz val="10"/>
        <rFont val="Helvetica"/>
      </rPr>
      <t>d</t>
    </r>
    <r>
      <rPr>
        <sz val="10"/>
        <rFont val="Helvetica"/>
      </rPr>
      <t xml:space="preserve"> from the column, a deep-beam check must be made. If (G230) or (G284) show "</t>
    </r>
    <r>
      <rPr>
        <sz val="10"/>
        <color rgb="FFFF0000"/>
        <rFont val="Helvetica"/>
      </rPr>
      <t>NG</t>
    </r>
    <r>
      <rPr>
        <sz val="10"/>
        <rFont val="Helvetica"/>
      </rPr>
      <t>", then shear reinforcement must be added with (E231-E233) or (E285-287) until (G236) or (G290) show "</t>
    </r>
    <r>
      <rPr>
        <sz val="10"/>
        <color rgb="FF00B050"/>
        <rFont val="Helvetica"/>
      </rPr>
      <t>OK</t>
    </r>
    <r>
      <rPr>
        <sz val="10"/>
        <rFont val="Helvetica"/>
      </rPr>
      <t xml:space="preserve">". Alternatively, </t>
    </r>
    <r>
      <rPr>
        <i/>
        <sz val="10"/>
        <rFont val="Helvetica"/>
      </rPr>
      <t xml:space="preserve">d </t>
    </r>
    <r>
      <rPr>
        <sz val="10"/>
        <rFont val="Helvetica"/>
      </rPr>
      <t xml:space="preserve">can be increased. </t>
    </r>
  </si>
  <si>
    <r>
      <t xml:space="preserve">Pile Cap Flexural Design: </t>
    </r>
    <r>
      <rPr>
        <sz val="10"/>
        <rFont val="Helvetica"/>
      </rPr>
      <t xml:space="preserve">Must be checked for both directions. Design sheet will automatically calculate required steel in each direction. User must select bar size (F353, F387) and either spacing (H353, H387) </t>
    </r>
    <r>
      <rPr>
        <b/>
        <sz val="10"/>
        <color rgb="FFFF0000"/>
        <rFont val="Helvetica"/>
      </rPr>
      <t>OR</t>
    </r>
    <r>
      <rPr>
        <sz val="10"/>
        <rFont val="Helvetica"/>
      </rPr>
      <t xml:space="preserve"> total number of bars (E353, E387). Do </t>
    </r>
    <r>
      <rPr>
        <b/>
        <sz val="10"/>
        <color rgb="FFFF0000"/>
        <rFont val="Helvetica"/>
      </rPr>
      <t>NOT</t>
    </r>
    <r>
      <rPr>
        <sz val="10"/>
        <rFont val="Helvetica"/>
      </rPr>
      <t xml:space="preserve"> select both. Checks are given at (G355, G358) and (G389, G392). </t>
    </r>
  </si>
  <si>
    <t>X bar =</t>
  </si>
  <si>
    <t>Y bar =</t>
  </si>
  <si>
    <r>
      <t xml:space="preserve">See CSRI Table 5-5(a) for max bar size based on hook development length and </t>
    </r>
    <r>
      <rPr>
        <i/>
        <sz val="10"/>
        <rFont val="Helvetica"/>
      </rPr>
      <t xml:space="preserve">E. </t>
    </r>
  </si>
  <si>
    <r>
      <t xml:space="preserve">All user input should be entered in the left side of the </t>
    </r>
    <r>
      <rPr>
        <b/>
        <sz val="10"/>
        <color rgb="FF00B050"/>
        <rFont val="Helvetica"/>
      </rPr>
      <t>DESIGN CRIT</t>
    </r>
    <r>
      <rPr>
        <sz val="10"/>
        <rFont val="Helvetica"/>
      </rPr>
      <t xml:space="preserve"> worksheet. No changes should be made to the right side of this spreadsheet, which stores typical pile layouts, or any of the other worksheets.</t>
    </r>
  </si>
  <si>
    <r>
      <rPr>
        <b/>
        <sz val="10"/>
        <rFont val="Helvetica"/>
      </rPr>
      <t>Before Beginning:</t>
    </r>
    <r>
      <rPr>
        <sz val="10"/>
        <rFont val="Helvetica"/>
      </rPr>
      <t xml:space="preserve"> Review CSRI-08 Pilecap Tabulated Designs (</t>
    </r>
    <r>
      <rPr>
        <b/>
        <sz val="10"/>
        <color rgb="FF00B0F0"/>
        <rFont val="Helvetica"/>
      </rPr>
      <t>TABUL DES</t>
    </r>
    <r>
      <rPr>
        <sz val="10"/>
        <rFont val="Helvetica"/>
      </rPr>
      <t>) to see if there are any pre-designed pile caps that meet design requirements (</t>
    </r>
    <r>
      <rPr>
        <i/>
        <sz val="10"/>
        <rFont val="Helvetica"/>
      </rPr>
      <t>Pu, A, B, D</t>
    </r>
    <r>
      <rPr>
        <sz val="10"/>
        <rFont val="Helvetica"/>
      </rPr>
      <t xml:space="preserve">). Note that the table is divided first by concrete strength and then by individual pile service load. </t>
    </r>
  </si>
  <si>
    <r>
      <t xml:space="preserve">(C27-C39) </t>
    </r>
    <r>
      <rPr>
        <b/>
        <sz val="10"/>
        <rFont val="Helvetica"/>
      </rPr>
      <t>Input data</t>
    </r>
    <r>
      <rPr>
        <sz val="10"/>
        <rFont val="Helvetica"/>
      </rPr>
      <t xml:space="preserve">: Enter pile cap depth </t>
    </r>
    <r>
      <rPr>
        <i/>
        <sz val="10"/>
        <rFont val="Helvetica"/>
      </rPr>
      <t>D</t>
    </r>
    <r>
      <rPr>
        <sz val="10"/>
        <rFont val="Helvetica"/>
      </rPr>
      <t xml:space="preserve">, edge distance </t>
    </r>
    <r>
      <rPr>
        <i/>
        <sz val="10"/>
        <rFont val="Helvetica"/>
      </rPr>
      <t>E</t>
    </r>
    <r>
      <rPr>
        <sz val="10"/>
        <rFont val="Helvetica"/>
      </rPr>
      <t>, pile diameter</t>
    </r>
    <r>
      <rPr>
        <i/>
        <sz val="10"/>
        <rFont val="Helvetica"/>
      </rPr>
      <t xml:space="preserve"> dp</t>
    </r>
    <r>
      <rPr>
        <sz val="10"/>
        <rFont val="Helvetica"/>
      </rPr>
      <t xml:space="preserve">, column square dimension </t>
    </r>
    <r>
      <rPr>
        <i/>
        <sz val="10"/>
        <rFont val="Helvetica"/>
      </rPr>
      <t>c</t>
    </r>
    <r>
      <rPr>
        <sz val="10"/>
        <rFont val="Helvetica"/>
      </rPr>
      <t>, distance to center of bars from bottom</t>
    </r>
    <r>
      <rPr>
        <i/>
        <sz val="10"/>
        <rFont val="Helvetica"/>
      </rPr>
      <t xml:space="preserve"> dc</t>
    </r>
    <r>
      <rPr>
        <sz val="10"/>
        <rFont val="Helvetica"/>
      </rPr>
      <t xml:space="preserve">, placement tolerance for piles and column, concrete strength </t>
    </r>
    <r>
      <rPr>
        <i/>
        <sz val="10"/>
        <rFont val="Helvetica"/>
      </rPr>
      <t>f'c</t>
    </r>
    <r>
      <rPr>
        <sz val="10"/>
        <rFont val="Helvetica"/>
      </rPr>
      <t xml:space="preserve">, steel yield strength </t>
    </r>
    <r>
      <rPr>
        <i/>
        <sz val="10"/>
        <rFont val="Helvetica"/>
      </rPr>
      <t xml:space="preserve">fy, </t>
    </r>
    <r>
      <rPr>
        <sz val="10"/>
        <rFont val="Helvetica"/>
      </rPr>
      <t>cover, and avg load factor. See Fig 13-3 (</t>
    </r>
    <r>
      <rPr>
        <b/>
        <sz val="10"/>
        <color rgb="FF00B0F0"/>
        <rFont val="Helvetica"/>
      </rPr>
      <t>FIG</t>
    </r>
    <r>
      <rPr>
        <sz val="10"/>
        <rFont val="Helvetica"/>
      </rPr>
      <t>) and use the comments in the worksheet for help.</t>
    </r>
  </si>
  <si>
    <r>
      <t xml:space="preserve">Two-Way Punching Shear @ Column: </t>
    </r>
    <r>
      <rPr>
        <sz val="10"/>
        <rFont val="Helvetica"/>
      </rPr>
      <t>See Fig 13-7 (</t>
    </r>
    <r>
      <rPr>
        <b/>
        <sz val="10"/>
        <color rgb="FF00B0F0"/>
        <rFont val="Helvetica"/>
      </rPr>
      <t>FIG</t>
    </r>
    <r>
      <rPr>
        <sz val="10"/>
        <rFont val="Helvetica"/>
      </rPr>
      <t>). If (G153) or (G177) show "</t>
    </r>
    <r>
      <rPr>
        <sz val="10"/>
        <color rgb="FFFF0000"/>
        <rFont val="Helvetica"/>
      </rPr>
      <t>NG</t>
    </r>
    <r>
      <rPr>
        <sz val="10"/>
        <rFont val="Helvetica"/>
      </rPr>
      <t xml:space="preserve">", then design must be updated, generally by increasing </t>
    </r>
    <r>
      <rPr>
        <i/>
        <sz val="10"/>
        <rFont val="Helvetica"/>
      </rPr>
      <t>d</t>
    </r>
    <r>
      <rPr>
        <sz val="10"/>
        <rFont val="Helvetica"/>
      </rPr>
      <t xml:space="preserve">. In addition to a typical punching shear check, if there are any piles centered within </t>
    </r>
    <r>
      <rPr>
        <i/>
        <sz val="10"/>
        <rFont val="Helvetica"/>
      </rPr>
      <t>d/2</t>
    </r>
    <r>
      <rPr>
        <sz val="10"/>
        <rFont val="Helvetica"/>
      </rPr>
      <t xml:space="preserve"> from the column, a special check must be made for a two-way corbel. Whether this check is performed is shown in (B154). </t>
    </r>
  </si>
  <si>
    <t>Quantities of Concrete and Reinforcement</t>
  </si>
  <si>
    <t xml:space="preserve">Concrete Volume = </t>
  </si>
  <si>
    <t>cuyd</t>
  </si>
  <si>
    <r>
      <t xml:space="preserve">One-Way Beam Shear @ Corner Pile: </t>
    </r>
    <r>
      <rPr>
        <sz val="10"/>
        <rFont val="Helvetica"/>
      </rPr>
      <t>Check (G318) and adjust adjust cap depth, concrete strength, edge distance, or pile diameter if "</t>
    </r>
    <r>
      <rPr>
        <sz val="10"/>
        <color rgb="FFFF0000"/>
        <rFont val="Helvetica"/>
      </rPr>
      <t>NG</t>
    </r>
    <r>
      <rPr>
        <sz val="10"/>
        <rFont val="Helvetica"/>
      </rPr>
      <t>". In some cases, you can also "clip the corners" of the rectangular pile dimensions - See Fig 13-2 (</t>
    </r>
    <r>
      <rPr>
        <b/>
        <sz val="10"/>
        <color rgb="FF00B0F0"/>
        <rFont val="Helvetica"/>
      </rPr>
      <t>FIG</t>
    </r>
    <r>
      <rPr>
        <sz val="10"/>
        <rFont val="Helvetica"/>
      </rPr>
      <t xml:space="preserve">) and </t>
    </r>
    <r>
      <rPr>
        <b/>
        <sz val="10"/>
        <color rgb="FF00B0F0"/>
        <rFont val="Helvetica"/>
      </rPr>
      <t>TABUL DES</t>
    </r>
    <r>
      <rPr>
        <b/>
        <sz val="10"/>
        <rFont val="Helvetica"/>
      </rPr>
      <t>.</t>
    </r>
  </si>
  <si>
    <t>Anchorage</t>
  </si>
  <si>
    <r>
      <t>Anchorage:</t>
    </r>
    <r>
      <rPr>
        <sz val="10"/>
        <rFont val="Helvetica"/>
      </rPr>
      <t xml:space="preserve"> Design of anchorage is left to the engineer. Per CSRI 13-23: "For pile caps with 2-7, 9 piles, all reinforcing bars must be provided with standard end hooks. For pile caps with 8, 10-12 piles, only the short reingorcing bars must be provided with end hooks and should be placed as the lower layer. As an alternative to hooked bars, the bar ends can instead be headed."</t>
    </r>
  </si>
  <si>
    <t xml:space="preserve">See "Anchorage" in EXCERPTS for anchorage design </t>
  </si>
  <si>
    <t>See EQNS for As determination</t>
  </si>
  <si>
    <t>lbs</t>
  </si>
  <si>
    <t xml:space="preserve"> X-oriented rebar weight = </t>
  </si>
  <si>
    <t xml:space="preserve">Total rebar weight = </t>
  </si>
  <si>
    <t>tons</t>
  </si>
  <si>
    <t>Net Design Capacity</t>
  </si>
  <si>
    <t xml:space="preserve">Total Design Capacity = </t>
  </si>
  <si>
    <t>kips</t>
  </si>
  <si>
    <t xml:space="preserve">Net Design Capacity = </t>
  </si>
  <si>
    <t xml:space="preserve">- Factored Pile Cap Weight = </t>
  </si>
  <si>
    <t xml:space="preserve">+ Y-oriented rebar weight = </t>
  </si>
  <si>
    <t>Weight of anchorage not included</t>
  </si>
  <si>
    <t>Design Summary</t>
  </si>
  <si>
    <t xml:space="preserve">5) </t>
  </si>
  <si>
    <t>In case the print preview shows that the correct area is not being printed, the user can reset the area with the following method:</t>
  </si>
  <si>
    <t>Then, go to the Page Layout Toolbar at the top of the window, click Print Area-&gt;Set Print Area. This will ensure that only the important columns are printed</t>
  </si>
  <si>
    <t xml:space="preserve">Adjust page breaks by dragging the thick blue lines that appear up and down. </t>
  </si>
  <si>
    <t xml:space="preserve">Print as normal. The user is again encouraged to use the print preview option to review the document before printing. </t>
  </si>
  <si>
    <r>
      <t xml:space="preserve">Printing: </t>
    </r>
    <r>
      <rPr>
        <sz val="10"/>
        <rFont val="Helvetica"/>
      </rPr>
      <t>The</t>
    </r>
    <r>
      <rPr>
        <sz val="10"/>
        <color rgb="FF00B050"/>
        <rFont val="Helvetica"/>
      </rPr>
      <t xml:space="preserve"> </t>
    </r>
    <r>
      <rPr>
        <b/>
        <sz val="10"/>
        <color rgb="FF00B050"/>
        <rFont val="Helvetica"/>
      </rPr>
      <t>DESIGN CRIT</t>
    </r>
    <r>
      <rPr>
        <sz val="10"/>
        <rFont val="Helvetica"/>
      </rPr>
      <t xml:space="preserve"> sheet can be printed for review or submittal. The sheet has already been formatted for printing, and the user should be able to go to File-&gt;Print-&gt;Select Printer-&gt;Print. Users are urged to click "Show Print Preview" and review the print before printing, as unexpected changes may have changed the print area selection.</t>
    </r>
  </si>
  <si>
    <r>
      <t xml:space="preserve">Select the </t>
    </r>
    <r>
      <rPr>
        <b/>
        <sz val="10"/>
        <color rgb="FF00B050"/>
        <rFont val="Helvetica"/>
      </rPr>
      <t>DESIGN CRIT</t>
    </r>
    <r>
      <rPr>
        <sz val="10"/>
        <rFont val="Helvetica"/>
      </rPr>
      <t xml:space="preserve"> tab and select columns (A-K) by dragging the mouse across the respective column header letters.</t>
    </r>
  </si>
  <si>
    <t>CRSI 12 pile example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</si>
</sst>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
    <numFmt numFmtId="166" formatCode="0.000E+00"/>
    <numFmt numFmtId="167" formatCode="&quot;$&quot;#,##0\ ;\(&quot;$&quot;#,##0\)"/>
    <numFmt numFmtId="168" formatCode="0.0"/>
  </numFmts>
  <fonts count="6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24"/>
      <name val="Arial"/>
      <family val="2"/>
    </font>
    <font>
      <b/>
      <sz val="18"/>
      <color indexed="24"/>
      <name val="Arial"/>
      <family val="2"/>
    </font>
    <font>
      <b/>
      <sz val="12"/>
      <color indexed="24"/>
      <name val="Arial"/>
      <family val="2"/>
    </font>
    <font>
      <sz val="8"/>
      <name val="Arial"/>
      <family val="2"/>
    </font>
    <font>
      <sz val="12"/>
      <color theme="1"/>
      <name val="Helvetica"/>
    </font>
    <font>
      <sz val="10"/>
      <color theme="1"/>
      <name val="Helvetica"/>
    </font>
    <font>
      <b/>
      <sz val="12"/>
      <color theme="1"/>
      <name val="Helvetica"/>
    </font>
    <font>
      <sz val="11"/>
      <color theme="1"/>
      <name val="Helvetica"/>
    </font>
    <font>
      <b/>
      <sz val="11.5"/>
      <color theme="1"/>
      <name val="Helvetica"/>
    </font>
    <font>
      <b/>
      <sz val="10"/>
      <color theme="1"/>
      <name val="Helvetica"/>
    </font>
    <font>
      <b/>
      <u/>
      <sz val="12"/>
      <color theme="1"/>
      <name val="Helvetica"/>
    </font>
    <font>
      <b/>
      <u/>
      <sz val="11"/>
      <color theme="1"/>
      <name val="Helvetica"/>
    </font>
    <font>
      <sz val="10"/>
      <name val="Helvetica"/>
    </font>
    <font>
      <u/>
      <sz val="10"/>
      <color indexed="12"/>
      <name val="Helvetica"/>
    </font>
    <font>
      <sz val="10"/>
      <color indexed="12"/>
      <name val="Helvetica"/>
    </font>
    <font>
      <b/>
      <u/>
      <sz val="10"/>
      <name val="Helvetica"/>
    </font>
    <font>
      <b/>
      <sz val="10"/>
      <color indexed="12"/>
      <name val="Helvetica"/>
    </font>
    <font>
      <b/>
      <sz val="10"/>
      <name val="Helvetica"/>
    </font>
    <font>
      <sz val="10"/>
      <color indexed="8"/>
      <name val="Helvetica"/>
    </font>
    <font>
      <sz val="11"/>
      <color indexed="30"/>
      <name val="Helvetica"/>
    </font>
    <font>
      <b/>
      <sz val="11"/>
      <color indexed="30"/>
      <name val="Helvetica"/>
    </font>
    <font>
      <vertAlign val="subscript"/>
      <sz val="10"/>
      <name val="Helvetica"/>
    </font>
    <font>
      <b/>
      <sz val="10"/>
      <color indexed="10"/>
      <name val="Helvetica"/>
    </font>
    <font>
      <b/>
      <sz val="14"/>
      <color theme="1"/>
      <name val="Helvetica"/>
    </font>
    <font>
      <sz val="10"/>
      <name val="Calibri"/>
      <family val="2"/>
    </font>
    <font>
      <vertAlign val="superscript"/>
      <sz val="10"/>
      <name val="Helvetica"/>
    </font>
    <font>
      <b/>
      <sz val="10"/>
      <name val="Arial"/>
      <family val="2"/>
    </font>
    <font>
      <vertAlign val="subscript"/>
      <sz val="10"/>
      <name val="Arial"/>
      <family val="2"/>
    </font>
    <font>
      <b/>
      <sz val="11"/>
      <color theme="1"/>
      <name val="Calibri"/>
      <family val="2"/>
      <scheme val="minor"/>
    </font>
    <font>
      <sz val="10"/>
      <color rgb="FF0000FF"/>
      <name val="Helvetica"/>
    </font>
    <font>
      <sz val="10"/>
      <color rgb="FFFF0000"/>
      <name val="Helvetica"/>
    </font>
    <font>
      <b/>
      <u/>
      <sz val="10"/>
      <color theme="1"/>
      <name val="Helvetica"/>
    </font>
    <font>
      <u/>
      <sz val="10"/>
      <color theme="1"/>
      <name val="Helvetica"/>
    </font>
    <font>
      <sz val="9"/>
      <color indexed="81"/>
      <name val="Tahoma"/>
      <family val="2"/>
    </font>
    <font>
      <b/>
      <sz val="9"/>
      <color indexed="81"/>
      <name val="Tahoma"/>
      <family val="2"/>
    </font>
    <font>
      <b/>
      <u/>
      <sz val="11"/>
      <name val="Helvetica"/>
    </font>
    <font>
      <b/>
      <u/>
      <sz val="14"/>
      <name val="Helvetica"/>
    </font>
    <font>
      <sz val="20"/>
      <name val="Helvetica"/>
    </font>
    <font>
      <sz val="20"/>
      <name val="Arial"/>
      <family val="2"/>
    </font>
    <font>
      <sz val="28"/>
      <name val="Helvetica"/>
    </font>
    <font>
      <sz val="28"/>
      <color indexed="30"/>
      <name val="Helvetica"/>
    </font>
    <font>
      <sz val="28"/>
      <name val="Arial"/>
      <family val="2"/>
    </font>
    <font>
      <sz val="20"/>
      <color indexed="12"/>
      <name val="Helvetica"/>
    </font>
    <font>
      <b/>
      <u/>
      <sz val="14"/>
      <color theme="1"/>
      <name val="Helvetica"/>
    </font>
    <font>
      <b/>
      <i/>
      <sz val="10"/>
      <name val="Helvetica"/>
    </font>
    <font>
      <u/>
      <sz val="11"/>
      <name val="Helvetica"/>
    </font>
    <font>
      <b/>
      <i/>
      <u/>
      <sz val="10"/>
      <name val="Helvetica"/>
    </font>
    <font>
      <b/>
      <i/>
      <u/>
      <sz val="11"/>
      <name val="Helvetica"/>
    </font>
    <font>
      <sz val="9"/>
      <name val="Calibri"/>
      <family val="2"/>
    </font>
    <font>
      <sz val="11"/>
      <color rgb="FF0070C0"/>
      <name val="Arial"/>
      <family val="2"/>
    </font>
    <font>
      <i/>
      <sz val="10"/>
      <name val="Helvetica"/>
    </font>
    <font>
      <b/>
      <sz val="10"/>
      <color rgb="FF00B050"/>
      <name val="Helvetica"/>
    </font>
    <font>
      <b/>
      <sz val="11"/>
      <name val="Helvetica"/>
    </font>
    <font>
      <b/>
      <sz val="10"/>
      <color rgb="FFFF0000"/>
      <name val="Helvetica"/>
    </font>
    <font>
      <u/>
      <sz val="10"/>
      <name val="Helvetica"/>
    </font>
    <font>
      <b/>
      <sz val="10"/>
      <color rgb="FF00B0F0"/>
      <name val="Helvetica"/>
    </font>
    <font>
      <i/>
      <sz val="10"/>
      <name val="Calibri"/>
      <family val="2"/>
    </font>
    <font>
      <sz val="10"/>
      <color rgb="FF00B050"/>
      <name val="Helvetica"/>
    </font>
    <font>
      <b/>
      <sz val="10"/>
      <color rgb="FFFF9900"/>
      <name val="Helvetica"/>
    </font>
    <font>
      <i/>
      <sz val="10"/>
      <color theme="1"/>
      <name val="Helvetica"/>
    </font>
  </fonts>
  <fills count="9">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rgb="FFFFFF99"/>
        <bgColor indexed="64"/>
      </patternFill>
    </fill>
    <fill>
      <patternFill patternType="solid">
        <fgColor theme="0"/>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1"/>
        <bgColor indexed="64"/>
      </patternFill>
    </fill>
  </fills>
  <borders count="27">
    <border>
      <left/>
      <right/>
      <top/>
      <bottom/>
      <diagonal/>
    </border>
    <border>
      <left/>
      <right/>
      <top style="double">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medium">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bottom style="medium">
        <color indexed="64"/>
      </bottom>
      <diagonal/>
    </border>
    <border>
      <left/>
      <right style="thin">
        <color indexed="64"/>
      </right>
      <top style="double">
        <color indexed="64"/>
      </top>
      <bottom/>
      <diagonal/>
    </border>
    <border>
      <left/>
      <right/>
      <top/>
      <bottom style="dotted">
        <color indexed="64"/>
      </bottom>
      <diagonal/>
    </border>
    <border>
      <left style="thin">
        <color indexed="64"/>
      </left>
      <right/>
      <top/>
      <bottom style="medium">
        <color indexed="64"/>
      </bottom>
      <diagonal/>
    </border>
    <border>
      <left style="thin">
        <color indexed="64"/>
      </left>
      <right/>
      <top/>
      <bottom style="dotted">
        <color indexed="64"/>
      </bottom>
      <diagonal/>
    </border>
    <border>
      <left style="thin">
        <color indexed="64"/>
      </left>
      <right/>
      <top/>
      <bottom style="double">
        <color indexed="64"/>
      </bottom>
      <diagonal/>
    </border>
    <border>
      <left/>
      <right style="thin">
        <color indexed="64"/>
      </right>
      <top/>
      <bottom style="dotted">
        <color indexed="64"/>
      </bottom>
      <diagonal/>
    </border>
  </borders>
  <cellStyleXfs count="37">
    <xf numFmtId="0" fontId="0" fillId="0" borderId="0"/>
    <xf numFmtId="3" fontId="7" fillId="0" borderId="0" applyFont="0" applyFill="0" applyBorder="0" applyAlignment="0" applyProtection="0"/>
    <xf numFmtId="167" fontId="7" fillId="0" borderId="0" applyFont="0" applyFill="0" applyBorder="0" applyAlignment="0" applyProtection="0"/>
    <xf numFmtId="0" fontId="7" fillId="0" borderId="0" applyFont="0" applyFill="0" applyBorder="0" applyAlignment="0" applyProtection="0"/>
    <xf numFmtId="2" fontId="7" fillId="0" borderId="0" applyFon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7" fillId="0" borderId="1" applyNumberFormat="0" applyFont="0" applyFill="0" applyAlignment="0" applyProtection="0"/>
    <xf numFmtId="0" fontId="5" fillId="0" borderId="0"/>
    <xf numFmtId="0" fontId="5" fillId="0" borderId="0"/>
    <xf numFmtId="0" fontId="5" fillId="0" borderId="0"/>
    <xf numFmtId="0" fontId="6" fillId="0" borderId="0"/>
    <xf numFmtId="0" fontId="4" fillId="0" borderId="0"/>
    <xf numFmtId="0" fontId="4" fillId="0" borderId="0"/>
    <xf numFmtId="0" fontId="6" fillId="0" borderId="0"/>
    <xf numFmtId="0" fontId="8" fillId="0" borderId="0" applyNumberFormat="0" applyFill="0" applyBorder="0" applyAlignment="0" applyProtection="0"/>
    <xf numFmtId="0" fontId="9" fillId="0" borderId="0" applyNumberFormat="0" applyFill="0" applyBorder="0" applyAlignment="0" applyProtection="0"/>
    <xf numFmtId="0" fontId="7" fillId="0" borderId="1" applyNumberFormat="0" applyFont="0" applyFill="0" applyAlignment="0" applyProtection="0"/>
    <xf numFmtId="0" fontId="4" fillId="0" borderId="0"/>
    <xf numFmtId="0" fontId="4"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478">
    <xf numFmtId="0" fontId="0" fillId="0" borderId="0" xfId="0"/>
    <xf numFmtId="0" fontId="13" fillId="5" borderId="2" xfId="10" applyNumberFormat="1" applyFont="1" applyFill="1" applyBorder="1" applyAlignment="1" applyProtection="1">
      <alignment vertical="center"/>
    </xf>
    <xf numFmtId="0" fontId="16" fillId="5" borderId="2" xfId="10" applyNumberFormat="1" applyFont="1" applyFill="1" applyBorder="1" applyAlignment="1" applyProtection="1">
      <alignment vertical="center"/>
    </xf>
    <xf numFmtId="0" fontId="12" fillId="4" borderId="0" xfId="9" applyFont="1" applyFill="1" applyBorder="1" applyAlignment="1" applyProtection="1">
      <alignment horizontal="center" vertical="center"/>
      <protection locked="0"/>
    </xf>
    <xf numFmtId="0" fontId="19" fillId="2" borderId="0" xfId="0" applyFont="1" applyFill="1" applyBorder="1" applyProtection="1">
      <protection hidden="1"/>
    </xf>
    <xf numFmtId="0" fontId="19" fillId="2" borderId="0" xfId="0" applyFont="1" applyFill="1" applyBorder="1"/>
    <xf numFmtId="0" fontId="12" fillId="5" borderId="0" xfId="9" applyFont="1" applyFill="1" applyBorder="1" applyAlignment="1" applyProtection="1">
      <alignment vertical="center"/>
    </xf>
    <xf numFmtId="0" fontId="17" fillId="5" borderId="0" xfId="9" applyFont="1" applyFill="1" applyAlignment="1" applyProtection="1">
      <alignment vertical="center"/>
    </xf>
    <xf numFmtId="0" fontId="12" fillId="5" borderId="0" xfId="9" applyFont="1" applyFill="1" applyAlignment="1" applyProtection="1">
      <alignment vertical="center"/>
    </xf>
    <xf numFmtId="0" fontId="17" fillId="5" borderId="0" xfId="9" applyFont="1" applyFill="1" applyBorder="1" applyAlignment="1" applyProtection="1">
      <alignment vertical="center"/>
    </xf>
    <xf numFmtId="0" fontId="12" fillId="5" borderId="0" xfId="9" applyFont="1" applyFill="1" applyAlignment="1" applyProtection="1">
      <alignment horizontal="right" vertical="center"/>
    </xf>
    <xf numFmtId="0" fontId="12" fillId="4" borderId="0" xfId="9" applyFont="1" applyFill="1" applyAlignment="1" applyProtection="1">
      <alignment horizontal="center" vertical="center"/>
      <protection locked="0"/>
    </xf>
    <xf numFmtId="0" fontId="21" fillId="2" borderId="0" xfId="0" applyFont="1" applyFill="1" applyBorder="1" applyAlignment="1" applyProtection="1">
      <alignment horizontal="right"/>
    </xf>
    <xf numFmtId="0" fontId="21" fillId="2" borderId="0" xfId="0" applyFont="1" applyFill="1" applyBorder="1" applyProtection="1">
      <protection locked="0"/>
    </xf>
    <xf numFmtId="0" fontId="24" fillId="2" borderId="0" xfId="0" applyFont="1" applyFill="1" applyBorder="1" applyProtection="1">
      <protection hidden="1"/>
    </xf>
    <xf numFmtId="0" fontId="23" fillId="2" borderId="0" xfId="0" applyFont="1" applyFill="1" applyBorder="1" applyAlignment="1" applyProtection="1">
      <alignment horizontal="left"/>
      <protection locked="0"/>
    </xf>
    <xf numFmtId="0" fontId="25" fillId="2" borderId="0" xfId="0" applyFont="1" applyFill="1" applyBorder="1" applyAlignment="1" applyProtection="1">
      <protection hidden="1"/>
    </xf>
    <xf numFmtId="0" fontId="19" fillId="0" borderId="0" xfId="0" applyFont="1" applyBorder="1"/>
    <xf numFmtId="0" fontId="19" fillId="0" borderId="0" xfId="0" applyFont="1" applyBorder="1" applyAlignment="1">
      <alignment horizontal="right"/>
    </xf>
    <xf numFmtId="0" fontId="19" fillId="0" borderId="0" xfId="0" applyFont="1" applyFill="1" applyBorder="1"/>
    <xf numFmtId="0" fontId="19" fillId="2" borderId="0" xfId="0" applyFont="1" applyFill="1" applyBorder="1" applyAlignment="1">
      <alignment horizontal="right"/>
    </xf>
    <xf numFmtId="0" fontId="19" fillId="2" borderId="0" xfId="0" applyFont="1" applyFill="1" applyBorder="1" applyAlignment="1" applyProtection="1">
      <alignment horizontal="center"/>
      <protection hidden="1"/>
    </xf>
    <xf numFmtId="0" fontId="24" fillId="2" borderId="0" xfId="0" applyFont="1" applyFill="1" applyBorder="1" applyAlignment="1" applyProtection="1">
      <alignment horizontal="right"/>
      <protection hidden="1"/>
    </xf>
    <xf numFmtId="0" fontId="19" fillId="2" borderId="2" xfId="0" applyFont="1" applyFill="1" applyBorder="1" applyProtection="1">
      <protection hidden="1"/>
    </xf>
    <xf numFmtId="0" fontId="19" fillId="2" borderId="0" xfId="0" applyFont="1" applyFill="1" applyBorder="1" applyAlignment="1"/>
    <xf numFmtId="0" fontId="19" fillId="0" borderId="0" xfId="0" applyFont="1" applyFill="1" applyBorder="1" applyAlignment="1">
      <alignment horizontal="right"/>
    </xf>
    <xf numFmtId="164" fontId="21" fillId="0" borderId="0" xfId="0" applyNumberFormat="1" applyFont="1" applyFill="1" applyBorder="1" applyAlignment="1" applyProtection="1">
      <alignment horizontal="center"/>
      <protection locked="0"/>
    </xf>
    <xf numFmtId="0" fontId="19" fillId="0" borderId="0" xfId="0" applyFont="1" applyFill="1" applyBorder="1" applyProtection="1">
      <protection hidden="1"/>
    </xf>
    <xf numFmtId="0" fontId="19" fillId="2" borderId="0" xfId="0" applyFont="1" applyFill="1" applyBorder="1" applyAlignment="1" applyProtection="1">
      <alignment horizontal="right"/>
      <protection hidden="1"/>
    </xf>
    <xf numFmtId="0" fontId="26" fillId="0" borderId="0" xfId="9" applyNumberFormat="1" applyFont="1" applyFill="1" applyBorder="1" applyAlignment="1">
      <alignment vertical="top"/>
    </xf>
    <xf numFmtId="2" fontId="21" fillId="2" borderId="0" xfId="0" applyNumberFormat="1" applyFont="1" applyFill="1" applyBorder="1" applyAlignment="1" applyProtection="1">
      <alignment horizontal="center"/>
      <protection hidden="1"/>
    </xf>
    <xf numFmtId="0" fontId="24" fillId="2" borderId="0" xfId="0" applyFont="1" applyFill="1" applyBorder="1" applyAlignment="1">
      <alignment horizontal="center"/>
    </xf>
    <xf numFmtId="0" fontId="24" fillId="2" borderId="0" xfId="0" applyFont="1" applyFill="1" applyBorder="1"/>
    <xf numFmtId="0" fontId="27" fillId="0" borderId="0" xfId="9" applyNumberFormat="1" applyFont="1" applyFill="1" applyBorder="1"/>
    <xf numFmtId="49" fontId="19" fillId="2" borderId="0" xfId="0" applyNumberFormat="1" applyFont="1" applyFill="1" applyBorder="1" applyAlignment="1">
      <alignment horizontal="right"/>
    </xf>
    <xf numFmtId="0" fontId="19" fillId="2" borderId="0" xfId="0" quotePrefix="1" applyFont="1" applyFill="1" applyBorder="1" applyProtection="1">
      <protection hidden="1"/>
    </xf>
    <xf numFmtId="0" fontId="19" fillId="0" borderId="0" xfId="0" applyFont="1" applyFill="1" applyBorder="1" applyAlignment="1" applyProtection="1">
      <alignment vertical="top" wrapText="1"/>
      <protection hidden="1"/>
    </xf>
    <xf numFmtId="0" fontId="19" fillId="0" borderId="0" xfId="0" applyFont="1" applyBorder="1" applyAlignment="1">
      <alignment horizontal="right"/>
    </xf>
    <xf numFmtId="49" fontId="19" fillId="2" borderId="0" xfId="0" applyNumberFormat="1" applyFont="1" applyFill="1" applyBorder="1" applyAlignment="1">
      <alignment horizontal="right"/>
    </xf>
    <xf numFmtId="0" fontId="19" fillId="2" borderId="0" xfId="0" applyFont="1" applyFill="1" applyBorder="1" applyAlignment="1" applyProtection="1">
      <alignment horizontal="right"/>
      <protection hidden="1"/>
    </xf>
    <xf numFmtId="0" fontId="19" fillId="2" borderId="0" xfId="0" applyFont="1" applyFill="1" applyBorder="1" applyAlignment="1">
      <alignment horizontal="right"/>
    </xf>
    <xf numFmtId="1" fontId="26" fillId="0" borderId="0" xfId="9" applyNumberFormat="1" applyFont="1" applyFill="1" applyBorder="1" applyAlignment="1">
      <alignment vertical="top"/>
    </xf>
    <xf numFmtId="164" fontId="26" fillId="0" borderId="0" xfId="9" applyNumberFormat="1" applyFont="1" applyFill="1" applyBorder="1" applyAlignment="1">
      <alignment vertical="top"/>
    </xf>
    <xf numFmtId="2" fontId="26" fillId="0" borderId="0" xfId="9" applyNumberFormat="1" applyFont="1" applyFill="1" applyBorder="1" applyAlignment="1">
      <alignment vertical="top"/>
    </xf>
    <xf numFmtId="2" fontId="27" fillId="0" borderId="0" xfId="9" applyNumberFormat="1" applyFont="1" applyFill="1" applyBorder="1"/>
    <xf numFmtId="168" fontId="26" fillId="0" borderId="0" xfId="9" applyNumberFormat="1" applyFont="1" applyFill="1" applyBorder="1" applyAlignment="1">
      <alignment vertical="top"/>
    </xf>
    <xf numFmtId="0" fontId="30" fillId="5" borderId="2" xfId="10" applyFont="1" applyFill="1" applyBorder="1" applyAlignment="1" applyProtection="1">
      <alignment vertical="center"/>
    </xf>
    <xf numFmtId="1" fontId="27" fillId="0" borderId="0" xfId="9" applyNumberFormat="1" applyFont="1" applyFill="1" applyBorder="1"/>
    <xf numFmtId="1" fontId="19" fillId="2" borderId="0" xfId="0" applyNumberFormat="1" applyFont="1" applyFill="1" applyBorder="1" applyProtection="1">
      <protection hidden="1"/>
    </xf>
    <xf numFmtId="0" fontId="19" fillId="2" borderId="0" xfId="0" applyFont="1" applyFill="1" applyBorder="1" applyAlignment="1" applyProtection="1">
      <alignment horizontal="right"/>
      <protection hidden="1"/>
    </xf>
    <xf numFmtId="0" fontId="19" fillId="0" borderId="0" xfId="0" applyFont="1" applyBorder="1" applyAlignment="1">
      <alignment horizontal="right"/>
    </xf>
    <xf numFmtId="49" fontId="19" fillId="2" borderId="0" xfId="0" applyNumberFormat="1" applyFont="1" applyFill="1" applyBorder="1" applyAlignment="1">
      <alignment horizontal="right"/>
    </xf>
    <xf numFmtId="0" fontId="19" fillId="6" borderId="0" xfId="0" applyFont="1" applyFill="1" applyAlignment="1" applyProtection="1">
      <alignment horizontal="right"/>
      <protection hidden="1"/>
    </xf>
    <xf numFmtId="0" fontId="19" fillId="2" borderId="0" xfId="0" applyFont="1" applyFill="1" applyBorder="1" applyAlignment="1" applyProtection="1">
      <protection hidden="1"/>
    </xf>
    <xf numFmtId="0" fontId="19" fillId="0" borderId="0" xfId="0" applyFont="1" applyBorder="1" applyAlignment="1">
      <alignment horizontal="right"/>
    </xf>
    <xf numFmtId="0" fontId="19" fillId="2" borderId="0" xfId="0" applyFont="1" applyFill="1" applyBorder="1" applyAlignment="1">
      <alignment horizontal="right"/>
    </xf>
    <xf numFmtId="0" fontId="19" fillId="6" borderId="0" xfId="0" applyFont="1" applyFill="1" applyAlignment="1" applyProtection="1">
      <alignment horizontal="right" vertical="top"/>
      <protection hidden="1"/>
    </xf>
    <xf numFmtId="0" fontId="19" fillId="2" borderId="0" xfId="0" applyFont="1" applyFill="1" applyBorder="1" applyAlignment="1">
      <alignment vertical="top"/>
    </xf>
    <xf numFmtId="0" fontId="19" fillId="2" borderId="0" xfId="0" applyFont="1" applyFill="1" applyBorder="1" applyAlignment="1">
      <alignment horizontal="right"/>
    </xf>
    <xf numFmtId="0" fontId="19" fillId="2" borderId="0" xfId="0" applyFont="1" applyFill="1" applyBorder="1" applyAlignment="1">
      <alignment horizontal="right"/>
    </xf>
    <xf numFmtId="0" fontId="6" fillId="0" borderId="0" xfId="0" applyFont="1"/>
    <xf numFmtId="0" fontId="19" fillId="2" borderId="0" xfId="0" applyFont="1" applyFill="1" applyBorder="1" applyAlignment="1">
      <alignment horizontal="right"/>
    </xf>
    <xf numFmtId="49" fontId="19" fillId="2" borderId="0" xfId="0" applyNumberFormat="1" applyFont="1" applyFill="1" applyBorder="1" applyAlignment="1">
      <alignment horizontal="right"/>
    </xf>
    <xf numFmtId="0" fontId="0" fillId="0" borderId="0" xfId="0" applyAlignment="1">
      <alignment horizontal="right"/>
    </xf>
    <xf numFmtId="168" fontId="0" fillId="0" borderId="0" xfId="0" applyNumberFormat="1"/>
    <xf numFmtId="0" fontId="6" fillId="0" borderId="0" xfId="0" applyFont="1" applyAlignment="1">
      <alignment horizontal="right"/>
    </xf>
    <xf numFmtId="0" fontId="19" fillId="0" borderId="0" xfId="0" applyFont="1" applyBorder="1" applyAlignment="1">
      <alignment horizontal="right"/>
    </xf>
    <xf numFmtId="0" fontId="19" fillId="2" borderId="0" xfId="0" applyFont="1" applyFill="1" applyBorder="1" applyAlignment="1" applyProtection="1">
      <alignment horizontal="right"/>
      <protection hidden="1"/>
    </xf>
    <xf numFmtId="0" fontId="19" fillId="0" borderId="0" xfId="0" applyFont="1" applyBorder="1"/>
    <xf numFmtId="0" fontId="19" fillId="0" borderId="0" xfId="0" applyFont="1" applyFill="1" applyBorder="1" applyProtection="1">
      <protection hidden="1"/>
    </xf>
    <xf numFmtId="0" fontId="0" fillId="0" borderId="0" xfId="0"/>
    <xf numFmtId="0" fontId="19" fillId="2" borderId="0" xfId="0" applyFont="1" applyFill="1" applyBorder="1" applyProtection="1">
      <protection hidden="1"/>
    </xf>
    <xf numFmtId="0" fontId="19" fillId="2" borderId="0" xfId="0" applyFont="1" applyFill="1" applyBorder="1"/>
    <xf numFmtId="0" fontId="19" fillId="2" borderId="2" xfId="0" applyFont="1" applyFill="1" applyBorder="1" applyAlignment="1" applyProtection="1">
      <alignment horizontal="center"/>
      <protection hidden="1"/>
    </xf>
    <xf numFmtId="1" fontId="21" fillId="3" borderId="2" xfId="14" applyNumberFormat="1" applyFont="1" applyFill="1" applyBorder="1" applyAlignment="1" applyProtection="1">
      <alignment horizontal="center"/>
      <protection locked="0"/>
    </xf>
    <xf numFmtId="0" fontId="19" fillId="0" borderId="0" xfId="0" applyFont="1" applyBorder="1" applyAlignment="1">
      <alignment horizontal="right"/>
    </xf>
    <xf numFmtId="0" fontId="19" fillId="0" borderId="0" xfId="0" applyFont="1" applyBorder="1" applyAlignment="1">
      <alignment vertical="top" wrapText="1"/>
    </xf>
    <xf numFmtId="0" fontId="19" fillId="0" borderId="8" xfId="0" applyFont="1" applyBorder="1"/>
    <xf numFmtId="0" fontId="19" fillId="2" borderId="8" xfId="0" applyFont="1" applyFill="1" applyBorder="1" applyProtection="1">
      <protection hidden="1"/>
    </xf>
    <xf numFmtId="0" fontId="19" fillId="2" borderId="8" xfId="0" applyFont="1" applyFill="1" applyBorder="1"/>
    <xf numFmtId="0" fontId="19" fillId="0" borderId="8" xfId="0" applyFont="1" applyFill="1" applyBorder="1" applyProtection="1">
      <protection hidden="1"/>
    </xf>
    <xf numFmtId="0" fontId="19" fillId="0" borderId="10" xfId="0" applyFont="1" applyBorder="1" applyAlignment="1">
      <alignment horizontal="right"/>
    </xf>
    <xf numFmtId="2" fontId="26" fillId="0" borderId="10" xfId="9" applyNumberFormat="1" applyFont="1" applyFill="1" applyBorder="1" applyAlignment="1">
      <alignment vertical="top"/>
    </xf>
    <xf numFmtId="0" fontId="19" fillId="0" borderId="10" xfId="0" applyFont="1" applyBorder="1"/>
    <xf numFmtId="0" fontId="37" fillId="2" borderId="4" xfId="0" applyFont="1" applyFill="1" applyBorder="1" applyAlignment="1" applyProtection="1">
      <alignment vertical="top" wrapText="1"/>
      <protection hidden="1"/>
    </xf>
    <xf numFmtId="2" fontId="21" fillId="2" borderId="0" xfId="0" applyNumberFormat="1" applyFont="1" applyFill="1" applyBorder="1" applyAlignment="1" applyProtection="1">
      <alignment horizontal="center"/>
    </xf>
    <xf numFmtId="0" fontId="20" fillId="2" borderId="0" xfId="0" applyFont="1" applyFill="1" applyBorder="1" applyProtection="1"/>
    <xf numFmtId="0" fontId="19" fillId="2" borderId="0" xfId="0" applyFont="1" applyFill="1" applyBorder="1" applyProtection="1"/>
    <xf numFmtId="0" fontId="21" fillId="2" borderId="0" xfId="0" applyFont="1" applyFill="1" applyBorder="1" applyAlignment="1" applyProtection="1">
      <alignment horizontal="center"/>
    </xf>
    <xf numFmtId="0" fontId="0" fillId="0" borderId="0" xfId="0" applyProtection="1"/>
    <xf numFmtId="0" fontId="19" fillId="2" borderId="0" xfId="0" applyFont="1" applyFill="1" applyBorder="1" applyAlignment="1" applyProtection="1">
      <alignment horizontal="left"/>
    </xf>
    <xf numFmtId="0" fontId="21" fillId="2" borderId="0" xfId="0" applyFont="1" applyFill="1" applyBorder="1" applyAlignment="1" applyProtection="1">
      <alignment horizontal="left"/>
    </xf>
    <xf numFmtId="0" fontId="20" fillId="2" borderId="0" xfId="0" applyFont="1" applyFill="1" applyBorder="1" applyAlignment="1" applyProtection="1">
      <alignment horizontal="left"/>
    </xf>
    <xf numFmtId="164" fontId="21" fillId="2" borderId="0" xfId="0" applyNumberFormat="1" applyFont="1" applyFill="1" applyBorder="1" applyAlignment="1" applyProtection="1">
      <alignment horizontal="center"/>
    </xf>
    <xf numFmtId="0" fontId="36" fillId="2" borderId="0" xfId="0" applyFont="1" applyFill="1" applyBorder="1" applyProtection="1"/>
    <xf numFmtId="0" fontId="19" fillId="2" borderId="0" xfId="0" applyFont="1" applyFill="1" applyBorder="1" applyAlignment="1" applyProtection="1">
      <alignment horizontal="center"/>
    </xf>
    <xf numFmtId="0" fontId="19" fillId="2" borderId="0" xfId="0" applyFont="1" applyFill="1" applyBorder="1" applyAlignment="1" applyProtection="1">
      <alignment horizontal="centerContinuous"/>
    </xf>
    <xf numFmtId="164" fontId="21" fillId="2" borderId="2" xfId="0" applyNumberFormat="1" applyFont="1" applyFill="1" applyBorder="1" applyAlignment="1" applyProtection="1">
      <alignment horizontal="left"/>
    </xf>
    <xf numFmtId="168" fontId="21" fillId="2" borderId="2" xfId="0" applyNumberFormat="1" applyFont="1" applyFill="1" applyBorder="1" applyAlignment="1" applyProtection="1">
      <alignment horizontal="center"/>
    </xf>
    <xf numFmtId="1" fontId="21" fillId="2" borderId="2" xfId="0" applyNumberFormat="1" applyFont="1" applyFill="1" applyBorder="1" applyAlignment="1" applyProtection="1">
      <alignment horizontal="left"/>
    </xf>
    <xf numFmtId="1" fontId="20" fillId="2" borderId="0" xfId="0" applyNumberFormat="1" applyFont="1" applyFill="1" applyBorder="1" applyAlignment="1" applyProtection="1">
      <alignment horizontal="left"/>
    </xf>
    <xf numFmtId="164" fontId="21" fillId="2" borderId="0" xfId="0" applyNumberFormat="1" applyFont="1" applyFill="1" applyBorder="1" applyAlignment="1" applyProtection="1">
      <alignment horizontal="left"/>
    </xf>
    <xf numFmtId="0" fontId="21" fillId="2" borderId="0" xfId="0" applyFont="1" applyFill="1" applyBorder="1" applyProtection="1"/>
    <xf numFmtId="0" fontId="20" fillId="2" borderId="0" xfId="0" applyFont="1" applyFill="1" applyBorder="1" applyAlignment="1" applyProtection="1">
      <alignment horizontal="center"/>
    </xf>
    <xf numFmtId="164" fontId="21" fillId="2" borderId="0" xfId="0" applyNumberFormat="1" applyFont="1" applyFill="1" applyBorder="1" applyProtection="1"/>
    <xf numFmtId="164" fontId="19" fillId="2" borderId="0" xfId="0" applyNumberFormat="1" applyFont="1" applyFill="1" applyBorder="1" applyProtection="1"/>
    <xf numFmtId="165" fontId="21" fillId="2" borderId="0" xfId="0" applyNumberFormat="1" applyFont="1" applyFill="1" applyBorder="1" applyAlignment="1" applyProtection="1">
      <alignment horizontal="right"/>
    </xf>
    <xf numFmtId="166" fontId="21" fillId="2" borderId="0" xfId="0" applyNumberFormat="1" applyFont="1" applyFill="1" applyBorder="1" applyAlignment="1" applyProtection="1">
      <alignment horizontal="center"/>
    </xf>
    <xf numFmtId="164" fontId="20" fillId="2" borderId="0" xfId="0" applyNumberFormat="1" applyFont="1" applyFill="1" applyBorder="1" applyAlignment="1" applyProtection="1">
      <alignment horizontal="left"/>
    </xf>
    <xf numFmtId="166" fontId="20" fillId="2" borderId="0" xfId="0" applyNumberFormat="1" applyFont="1" applyFill="1" applyBorder="1" applyAlignment="1" applyProtection="1">
      <alignment horizontal="center"/>
    </xf>
    <xf numFmtId="1" fontId="21" fillId="2" borderId="0" xfId="0" applyNumberFormat="1" applyFont="1" applyFill="1" applyBorder="1" applyAlignment="1" applyProtection="1">
      <alignment horizontal="center"/>
    </xf>
    <xf numFmtId="0" fontId="19" fillId="2" borderId="0" xfId="0" applyFont="1" applyFill="1" applyBorder="1" applyAlignment="1">
      <alignment horizontal="right"/>
    </xf>
    <xf numFmtId="0" fontId="19" fillId="2" borderId="0" xfId="0" applyFont="1" applyFill="1" applyBorder="1" applyAlignment="1" applyProtection="1">
      <alignment horizontal="right"/>
      <protection hidden="1"/>
    </xf>
    <xf numFmtId="49" fontId="19" fillId="2" borderId="0" xfId="0" applyNumberFormat="1" applyFont="1" applyFill="1" applyBorder="1" applyAlignment="1">
      <alignment horizontal="right"/>
    </xf>
    <xf numFmtId="0" fontId="19" fillId="0" borderId="0" xfId="0" applyFont="1" applyAlignment="1">
      <alignment wrapText="1"/>
    </xf>
    <xf numFmtId="0" fontId="19" fillId="2" borderId="0" xfId="0" applyFont="1" applyFill="1" applyBorder="1" applyAlignment="1">
      <alignment wrapText="1"/>
    </xf>
    <xf numFmtId="0" fontId="19" fillId="0" borderId="8" xfId="0" applyFont="1" applyBorder="1" applyAlignment="1">
      <alignment wrapText="1"/>
    </xf>
    <xf numFmtId="0" fontId="19" fillId="0" borderId="2" xfId="0" applyFont="1" applyBorder="1" applyAlignment="1">
      <alignment wrapText="1"/>
    </xf>
    <xf numFmtId="0" fontId="19" fillId="0" borderId="2" xfId="0" applyFont="1" applyBorder="1" applyAlignment="1">
      <alignment vertical="center" wrapText="1"/>
    </xf>
    <xf numFmtId="0" fontId="24" fillId="0" borderId="0" xfId="0" applyFont="1" applyAlignment="1">
      <alignment horizontal="right" vertical="center" wrapText="1"/>
    </xf>
    <xf numFmtId="0" fontId="19" fillId="0" borderId="14" xfId="0" applyFont="1" applyBorder="1" applyAlignment="1">
      <alignment wrapText="1"/>
    </xf>
    <xf numFmtId="0" fontId="24" fillId="0" borderId="10" xfId="0" applyFont="1" applyBorder="1" applyAlignment="1">
      <alignment horizontal="right" vertical="center" wrapText="1"/>
    </xf>
    <xf numFmtId="0" fontId="24" fillId="0" borderId="2" xfId="0" applyFont="1" applyBorder="1" applyAlignment="1">
      <alignment horizontal="right" vertical="center" wrapText="1"/>
    </xf>
    <xf numFmtId="0" fontId="24" fillId="2" borderId="2" xfId="0" applyFont="1" applyFill="1" applyBorder="1" applyAlignment="1">
      <alignment horizontal="right" vertical="center" wrapText="1"/>
    </xf>
    <xf numFmtId="0" fontId="14" fillId="5" borderId="15" xfId="9" applyFont="1" applyFill="1" applyBorder="1" applyAlignment="1" applyProtection="1">
      <alignment vertical="center"/>
    </xf>
    <xf numFmtId="0" fontId="14" fillId="5" borderId="16" xfId="9" applyFont="1" applyFill="1" applyBorder="1" applyAlignment="1" applyProtection="1">
      <alignment vertical="center"/>
    </xf>
    <xf numFmtId="0" fontId="14" fillId="5" borderId="14" xfId="9" applyFont="1" applyFill="1" applyBorder="1" applyAlignment="1" applyProtection="1">
      <alignment vertical="center"/>
    </xf>
    <xf numFmtId="2" fontId="21" fillId="5" borderId="2" xfId="14" applyNumberFormat="1" applyFont="1" applyFill="1" applyBorder="1" applyAlignment="1" applyProtection="1">
      <alignment horizontal="center"/>
      <protection locked="0"/>
    </xf>
    <xf numFmtId="0" fontId="12" fillId="4" borderId="2" xfId="9" applyFont="1" applyFill="1" applyBorder="1" applyAlignment="1" applyProtection="1">
      <alignment horizontal="center" vertical="center"/>
      <protection locked="0"/>
    </xf>
    <xf numFmtId="0" fontId="19" fillId="4" borderId="2" xfId="9" applyFont="1" applyFill="1" applyBorder="1" applyAlignment="1" applyProtection="1">
      <alignment horizontal="center" vertical="center"/>
      <protection locked="0"/>
    </xf>
    <xf numFmtId="1" fontId="19" fillId="3" borderId="15" xfId="14" applyNumberFormat="1" applyFont="1" applyFill="1" applyBorder="1" applyAlignment="1" applyProtection="1">
      <alignment horizontal="center"/>
      <protection locked="0"/>
    </xf>
    <xf numFmtId="2" fontId="21" fillId="3" borderId="11" xfId="14" applyNumberFormat="1" applyFont="1" applyFill="1" applyBorder="1" applyAlignment="1" applyProtection="1">
      <alignment horizontal="center"/>
      <protection locked="0"/>
    </xf>
    <xf numFmtId="2" fontId="21" fillId="3" borderId="8" xfId="14" applyNumberFormat="1" applyFont="1" applyFill="1" applyBorder="1" applyAlignment="1" applyProtection="1">
      <alignment horizontal="center"/>
      <protection locked="0"/>
    </xf>
    <xf numFmtId="2" fontId="21" fillId="3" borderId="8" xfId="11" applyNumberFormat="1" applyFont="1" applyFill="1" applyBorder="1" applyAlignment="1" applyProtection="1">
      <alignment horizontal="center"/>
      <protection locked="0"/>
    </xf>
    <xf numFmtId="168" fontId="21" fillId="3" borderId="8" xfId="0" applyNumberFormat="1" applyFont="1" applyFill="1" applyBorder="1" applyAlignment="1" applyProtection="1">
      <alignment horizontal="center"/>
      <protection locked="0"/>
    </xf>
    <xf numFmtId="168" fontId="21" fillId="3" borderId="13" xfId="0" applyNumberFormat="1" applyFont="1" applyFill="1" applyBorder="1" applyAlignment="1" applyProtection="1">
      <alignment horizontal="center"/>
      <protection locked="0"/>
    </xf>
    <xf numFmtId="2" fontId="21" fillId="3" borderId="15" xfId="14" applyNumberFormat="1" applyFont="1" applyFill="1" applyBorder="1" applyAlignment="1" applyProtection="1">
      <alignment horizontal="center"/>
      <protection locked="0"/>
    </xf>
    <xf numFmtId="2" fontId="21" fillId="3" borderId="16" xfId="14" applyNumberFormat="1" applyFont="1" applyFill="1" applyBorder="1" applyAlignment="1" applyProtection="1">
      <alignment horizontal="center"/>
      <protection locked="0"/>
    </xf>
    <xf numFmtId="168" fontId="21" fillId="3" borderId="16" xfId="11" applyNumberFormat="1" applyFont="1" applyFill="1" applyBorder="1" applyAlignment="1" applyProtection="1">
      <alignment horizontal="center"/>
      <protection locked="0"/>
    </xf>
    <xf numFmtId="168" fontId="21" fillId="3" borderId="16" xfId="0" applyNumberFormat="1" applyFont="1" applyFill="1" applyBorder="1" applyAlignment="1" applyProtection="1">
      <alignment horizontal="center"/>
      <protection locked="0"/>
    </xf>
    <xf numFmtId="168" fontId="21" fillId="3" borderId="14" xfId="0" applyNumberFormat="1" applyFont="1" applyFill="1" applyBorder="1" applyAlignment="1" applyProtection="1">
      <alignment horizontal="center"/>
      <protection locked="0"/>
    </xf>
    <xf numFmtId="0" fontId="42" fillId="2" borderId="0" xfId="0" applyFont="1" applyFill="1" applyBorder="1" applyProtection="1">
      <protection hidden="1"/>
    </xf>
    <xf numFmtId="0" fontId="43" fillId="2" borderId="0" xfId="0" applyFont="1" applyFill="1" applyBorder="1" applyProtection="1">
      <protection hidden="1"/>
    </xf>
    <xf numFmtId="0" fontId="44" fillId="2" borderId="0" xfId="0" applyFont="1" applyFill="1" applyBorder="1"/>
    <xf numFmtId="0" fontId="45" fillId="0" borderId="0" xfId="0" applyFont="1"/>
    <xf numFmtId="0" fontId="46" fillId="2" borderId="0" xfId="0" applyFont="1" applyFill="1" applyBorder="1"/>
    <xf numFmtId="0" fontId="47" fillId="0" borderId="0" xfId="9" applyNumberFormat="1" applyFont="1" applyFill="1" applyBorder="1" applyAlignment="1">
      <alignment vertical="top"/>
    </xf>
    <xf numFmtId="0" fontId="46" fillId="2" borderId="0" xfId="0" applyFont="1" applyFill="1" applyBorder="1" applyProtection="1">
      <protection hidden="1"/>
    </xf>
    <xf numFmtId="0" fontId="48" fillId="0" borderId="0" xfId="0" applyFont="1"/>
    <xf numFmtId="2" fontId="49" fillId="2" borderId="0" xfId="0" applyNumberFormat="1" applyFont="1" applyFill="1" applyBorder="1" applyAlignment="1" applyProtection="1">
      <alignment horizontal="center"/>
      <protection hidden="1"/>
    </xf>
    <xf numFmtId="0" fontId="44" fillId="0" borderId="0" xfId="0" applyFont="1" applyBorder="1"/>
    <xf numFmtId="0" fontId="19" fillId="2" borderId="17" xfId="0" applyFont="1" applyFill="1" applyBorder="1" applyProtection="1">
      <protection hidden="1"/>
    </xf>
    <xf numFmtId="0" fontId="19" fillId="2" borderId="17" xfId="0" applyFont="1" applyFill="1" applyBorder="1"/>
    <xf numFmtId="0" fontId="0" fillId="0" borderId="17" xfId="0" applyBorder="1"/>
    <xf numFmtId="0" fontId="33" fillId="0" borderId="8" xfId="0" applyFont="1" applyBorder="1" applyAlignment="1">
      <alignment vertical="top" wrapText="1"/>
    </xf>
    <xf numFmtId="0" fontId="19" fillId="2" borderId="10" xfId="0" applyFont="1" applyFill="1" applyBorder="1" applyProtection="1">
      <protection hidden="1"/>
    </xf>
    <xf numFmtId="0" fontId="24" fillId="2" borderId="10" xfId="0" applyFont="1" applyFill="1" applyBorder="1" applyAlignment="1">
      <alignment horizontal="center"/>
    </xf>
    <xf numFmtId="0" fontId="19" fillId="2" borderId="10" xfId="0" applyFont="1" applyFill="1" applyBorder="1"/>
    <xf numFmtId="0" fontId="19" fillId="2" borderId="13" xfId="0" applyFont="1" applyFill="1" applyBorder="1" applyProtection="1">
      <protection hidden="1"/>
    </xf>
    <xf numFmtId="0" fontId="33" fillId="0" borderId="14" xfId="0" applyFont="1" applyBorder="1" applyAlignment="1">
      <alignment vertical="top" wrapText="1"/>
    </xf>
    <xf numFmtId="0" fontId="19" fillId="2" borderId="18" xfId="0" applyFont="1" applyFill="1" applyBorder="1" applyProtection="1">
      <protection hidden="1"/>
    </xf>
    <xf numFmtId="0" fontId="24" fillId="2" borderId="18" xfId="0" applyFont="1" applyFill="1" applyBorder="1" applyAlignment="1">
      <alignment horizontal="center"/>
    </xf>
    <xf numFmtId="0" fontId="19" fillId="2" borderId="18" xfId="0" applyFont="1" applyFill="1" applyBorder="1"/>
    <xf numFmtId="0" fontId="19" fillId="2" borderId="19" xfId="0" applyFont="1" applyFill="1" applyBorder="1" applyProtection="1">
      <protection hidden="1"/>
    </xf>
    <xf numFmtId="0" fontId="42" fillId="2" borderId="0" xfId="0" applyFont="1" applyFill="1" applyBorder="1"/>
    <xf numFmtId="0" fontId="19" fillId="3" borderId="0" xfId="0" applyFont="1" applyFill="1" applyBorder="1" applyAlignment="1" applyProtection="1">
      <alignment horizontal="center"/>
      <protection locked="0"/>
    </xf>
    <xf numFmtId="0" fontId="19" fillId="0" borderId="10" xfId="0" applyFont="1" applyFill="1" applyBorder="1" applyAlignment="1">
      <alignment horizontal="right"/>
    </xf>
    <xf numFmtId="0" fontId="26" fillId="0" borderId="10" xfId="9" applyNumberFormat="1" applyFont="1" applyFill="1" applyBorder="1" applyAlignment="1">
      <alignment vertical="top"/>
    </xf>
    <xf numFmtId="0" fontId="19" fillId="0" borderId="10" xfId="0" applyFont="1" applyFill="1" applyBorder="1" applyProtection="1">
      <protection hidden="1"/>
    </xf>
    <xf numFmtId="0" fontId="0" fillId="0" borderId="10" xfId="0" applyBorder="1"/>
    <xf numFmtId="0" fontId="19" fillId="8" borderId="17" xfId="0" applyFont="1" applyFill="1" applyBorder="1" applyProtection="1">
      <protection hidden="1"/>
    </xf>
    <xf numFmtId="0" fontId="19" fillId="8" borderId="20" xfId="0" applyFont="1" applyFill="1" applyBorder="1" applyProtection="1">
      <protection hidden="1"/>
    </xf>
    <xf numFmtId="0" fontId="12" fillId="5" borderId="8" xfId="9" applyFont="1" applyFill="1" applyBorder="1" applyAlignment="1" applyProtection="1">
      <alignment vertical="center"/>
    </xf>
    <xf numFmtId="0" fontId="44" fillId="0" borderId="8" xfId="0" applyFont="1" applyBorder="1"/>
    <xf numFmtId="0" fontId="53" fillId="2" borderId="0" xfId="0" applyFont="1" applyFill="1" applyBorder="1" applyProtection="1">
      <protection hidden="1"/>
    </xf>
    <xf numFmtId="0" fontId="42" fillId="2" borderId="10" xfId="0" applyFont="1" applyFill="1" applyBorder="1" applyProtection="1">
      <protection hidden="1"/>
    </xf>
    <xf numFmtId="0" fontId="26" fillId="0" borderId="18" xfId="9" applyNumberFormat="1" applyFont="1" applyFill="1" applyBorder="1" applyAlignment="1">
      <alignment vertical="top"/>
    </xf>
    <xf numFmtId="0" fontId="0" fillId="0" borderId="18" xfId="0" applyBorder="1"/>
    <xf numFmtId="0" fontId="19" fillId="2" borderId="14" xfId="0" applyFont="1" applyFill="1" applyBorder="1" applyProtection="1">
      <protection hidden="1"/>
    </xf>
    <xf numFmtId="0" fontId="19" fillId="2" borderId="21" xfId="0" applyFont="1" applyFill="1" applyBorder="1" applyProtection="1">
      <protection hidden="1"/>
    </xf>
    <xf numFmtId="1" fontId="26" fillId="0" borderId="18" xfId="9" applyNumberFormat="1" applyFont="1" applyFill="1" applyBorder="1" applyAlignment="1">
      <alignment vertical="top"/>
    </xf>
    <xf numFmtId="0" fontId="19" fillId="2" borderId="17" xfId="0" applyFont="1" applyFill="1" applyBorder="1" applyAlignment="1">
      <alignment horizontal="right"/>
    </xf>
    <xf numFmtId="0" fontId="26" fillId="0" borderId="17" xfId="9" applyNumberFormat="1" applyFont="1" applyFill="1" applyBorder="1" applyAlignment="1">
      <alignment vertical="top"/>
    </xf>
    <xf numFmtId="0" fontId="19" fillId="2" borderId="20" xfId="0" applyFont="1" applyFill="1" applyBorder="1" applyProtection="1">
      <protection hidden="1"/>
    </xf>
    <xf numFmtId="0" fontId="54" fillId="0" borderId="0" xfId="0" applyFont="1" applyBorder="1"/>
    <xf numFmtId="0" fontId="19" fillId="2" borderId="19" xfId="0" applyFont="1" applyFill="1" applyBorder="1"/>
    <xf numFmtId="0" fontId="19" fillId="8" borderId="0" xfId="0" applyFont="1" applyFill="1" applyBorder="1" applyProtection="1">
      <protection hidden="1"/>
    </xf>
    <xf numFmtId="0" fontId="19" fillId="8" borderId="8" xfId="0" applyFont="1" applyFill="1" applyBorder="1" applyProtection="1">
      <protection hidden="1"/>
    </xf>
    <xf numFmtId="0" fontId="28" fillId="2" borderId="18" xfId="0" applyFont="1" applyFill="1" applyBorder="1" applyAlignment="1" applyProtection="1">
      <alignment horizontal="right"/>
      <protection hidden="1"/>
    </xf>
    <xf numFmtId="1" fontId="26" fillId="0" borderId="0" xfId="9" applyNumberFormat="1" applyFont="1" applyFill="1" applyBorder="1" applyAlignment="1"/>
    <xf numFmtId="0" fontId="0" fillId="0" borderId="10" xfId="0" applyBorder="1" applyAlignment="1">
      <alignment horizontal="right"/>
    </xf>
    <xf numFmtId="0" fontId="19" fillId="6" borderId="10" xfId="0" applyFont="1" applyFill="1" applyBorder="1" applyAlignment="1" applyProtection="1">
      <alignment horizontal="right"/>
      <protection hidden="1"/>
    </xf>
    <xf numFmtId="1" fontId="27" fillId="0" borderId="10" xfId="9" applyNumberFormat="1" applyFont="1" applyFill="1" applyBorder="1"/>
    <xf numFmtId="0" fontId="56" fillId="0" borderId="0" xfId="0" applyFont="1"/>
    <xf numFmtId="1" fontId="56" fillId="0" borderId="0" xfId="0" applyNumberFormat="1" applyFont="1"/>
    <xf numFmtId="0" fontId="19" fillId="2" borderId="0" xfId="0" applyFont="1" applyFill="1" applyBorder="1" applyAlignment="1" applyProtection="1">
      <alignment vertical="top" wrapText="1"/>
      <protection hidden="1"/>
    </xf>
    <xf numFmtId="0" fontId="0" fillId="8" borderId="0" xfId="0" applyFill="1"/>
    <xf numFmtId="0" fontId="0" fillId="8" borderId="17" xfId="0" applyFill="1" applyBorder="1"/>
    <xf numFmtId="0" fontId="45" fillId="8" borderId="0" xfId="0" applyFont="1" applyFill="1"/>
    <xf numFmtId="0" fontId="6" fillId="8" borderId="0" xfId="0" applyFont="1" applyFill="1"/>
    <xf numFmtId="0" fontId="0" fillId="8" borderId="18" xfId="0" applyFill="1" applyBorder="1"/>
    <xf numFmtId="0" fontId="48" fillId="8" borderId="0" xfId="0" applyFont="1" applyFill="1"/>
    <xf numFmtId="0" fontId="19" fillId="8" borderId="17" xfId="0" applyFont="1" applyFill="1" applyBorder="1"/>
    <xf numFmtId="0" fontId="19" fillId="2" borderId="14" xfId="0" applyFont="1" applyFill="1" applyBorder="1" applyAlignment="1" applyProtection="1">
      <alignment horizontal="center"/>
      <protection hidden="1"/>
    </xf>
    <xf numFmtId="0" fontId="19" fillId="2" borderId="16" xfId="0" applyFont="1" applyFill="1" applyBorder="1" applyAlignment="1" applyProtection="1">
      <alignment horizontal="center"/>
      <protection hidden="1"/>
    </xf>
    <xf numFmtId="0" fontId="19" fillId="2" borderId="22" xfId="0" applyFont="1" applyFill="1" applyBorder="1"/>
    <xf numFmtId="0" fontId="19" fillId="2" borderId="22" xfId="0" applyFont="1" applyFill="1" applyBorder="1" applyProtection="1">
      <protection hidden="1"/>
    </xf>
    <xf numFmtId="0" fontId="35" fillId="8" borderId="22" xfId="20" applyFont="1" applyFill="1" applyBorder="1"/>
    <xf numFmtId="2" fontId="0" fillId="0" borderId="0" xfId="0" applyNumberFormat="1"/>
    <xf numFmtId="2" fontId="6" fillId="0" borderId="0" xfId="0" applyNumberFormat="1" applyFont="1"/>
    <xf numFmtId="2" fontId="0" fillId="8" borderId="17" xfId="0" applyNumberFormat="1" applyFill="1" applyBorder="1"/>
    <xf numFmtId="2" fontId="6" fillId="0" borderId="22" xfId="0" applyNumberFormat="1" applyFont="1" applyBorder="1"/>
    <xf numFmtId="2" fontId="0" fillId="0" borderId="22" xfId="0" applyNumberFormat="1" applyBorder="1"/>
    <xf numFmtId="2" fontId="0" fillId="0" borderId="10" xfId="0" applyNumberFormat="1" applyBorder="1"/>
    <xf numFmtId="2" fontId="0" fillId="0" borderId="17" xfId="0" applyNumberFormat="1" applyBorder="1"/>
    <xf numFmtId="2" fontId="45" fillId="0" borderId="0" xfId="0" applyNumberFormat="1" applyFont="1"/>
    <xf numFmtId="2" fontId="0" fillId="0" borderId="18" xfId="0" applyNumberFormat="1" applyBorder="1"/>
    <xf numFmtId="2" fontId="48" fillId="0" borderId="0" xfId="0" applyNumberFormat="1" applyFont="1"/>
    <xf numFmtId="2" fontId="19" fillId="2" borderId="0" xfId="0" applyNumberFormat="1" applyFont="1" applyFill="1" applyBorder="1" applyProtection="1"/>
    <xf numFmtId="2" fontId="19" fillId="2" borderId="0" xfId="0" applyNumberFormat="1" applyFont="1" applyFill="1" applyBorder="1" applyAlignment="1" applyProtection="1">
      <alignment horizontal="left"/>
    </xf>
    <xf numFmtId="2" fontId="20" fillId="2" borderId="0" xfId="0" applyNumberFormat="1" applyFont="1" applyFill="1" applyBorder="1" applyAlignment="1" applyProtection="1">
      <alignment horizontal="left"/>
    </xf>
    <xf numFmtId="2" fontId="21" fillId="2" borderId="2" xfId="0" applyNumberFormat="1" applyFont="1" applyFill="1" applyBorder="1" applyAlignment="1" applyProtection="1">
      <alignment horizontal="left"/>
    </xf>
    <xf numFmtId="2" fontId="21" fillId="2" borderId="2" xfId="0" applyNumberFormat="1" applyFont="1" applyFill="1" applyBorder="1" applyAlignment="1" applyProtection="1">
      <alignment horizontal="left" indent="4"/>
    </xf>
    <xf numFmtId="2" fontId="21" fillId="3" borderId="2" xfId="0" applyNumberFormat="1" applyFont="1" applyFill="1" applyBorder="1" applyAlignment="1" applyProtection="1">
      <alignment horizontal="center"/>
    </xf>
    <xf numFmtId="2" fontId="21" fillId="2" borderId="2" xfId="0" applyNumberFormat="1" applyFont="1" applyFill="1" applyBorder="1" applyAlignment="1" applyProtection="1">
      <alignment horizontal="center"/>
    </xf>
    <xf numFmtId="2" fontId="21" fillId="2" borderId="0" xfId="0" applyNumberFormat="1" applyFont="1" applyFill="1" applyBorder="1" applyAlignment="1" applyProtection="1">
      <alignment horizontal="left"/>
    </xf>
    <xf numFmtId="2" fontId="21" fillId="2" borderId="0" xfId="0" applyNumberFormat="1" applyFont="1" applyFill="1" applyBorder="1" applyProtection="1"/>
    <xf numFmtId="2" fontId="20" fillId="2" borderId="0" xfId="0" applyNumberFormat="1" applyFont="1" applyFill="1" applyBorder="1" applyAlignment="1" applyProtection="1">
      <alignment horizontal="center"/>
    </xf>
    <xf numFmtId="2" fontId="0" fillId="0" borderId="0" xfId="14" applyNumberFormat="1" applyFont="1" applyFill="1" applyBorder="1" applyAlignment="1" applyProtection="1">
      <alignment horizontal="center"/>
      <protection locked="0"/>
    </xf>
    <xf numFmtId="0" fontId="19" fillId="2" borderId="0" xfId="0" applyFont="1" applyFill="1" applyBorder="1" applyAlignment="1" applyProtection="1">
      <alignment horizontal="right"/>
      <protection hidden="1"/>
    </xf>
    <xf numFmtId="0" fontId="19" fillId="2" borderId="0" xfId="0" applyFont="1" applyFill="1" applyBorder="1" applyAlignment="1">
      <alignment horizontal="right"/>
    </xf>
    <xf numFmtId="0" fontId="19" fillId="2" borderId="0" xfId="0" applyFont="1" applyFill="1" applyBorder="1" applyAlignment="1" applyProtection="1">
      <alignment vertical="top" wrapText="1"/>
      <protection hidden="1"/>
    </xf>
    <xf numFmtId="0" fontId="19" fillId="0" borderId="0" xfId="0" applyFont="1" applyFill="1" applyBorder="1" applyAlignment="1">
      <alignment horizontal="left" vertical="top" wrapText="1"/>
    </xf>
    <xf numFmtId="0" fontId="19" fillId="0" borderId="8" xfId="0" applyFont="1" applyFill="1" applyBorder="1" applyAlignment="1">
      <alignment horizontal="left" vertical="top" wrapText="1"/>
    </xf>
    <xf numFmtId="2" fontId="0" fillId="0" borderId="0" xfId="0" applyNumberFormat="1" applyAlignment="1">
      <alignment horizontal="center"/>
    </xf>
    <xf numFmtId="1" fontId="19" fillId="3" borderId="0" xfId="14" applyNumberFormat="1" applyFont="1" applyFill="1" applyBorder="1" applyAlignment="1" applyProtection="1">
      <alignment horizontal="center"/>
      <protection locked="0"/>
    </xf>
    <xf numFmtId="0" fontId="13" fillId="5" borderId="7" xfId="10" applyNumberFormat="1" applyFont="1" applyFill="1" applyBorder="1" applyAlignment="1" applyProtection="1">
      <alignment vertical="center"/>
    </xf>
    <xf numFmtId="0" fontId="11" fillId="4" borderId="2" xfId="10" applyFont="1" applyFill="1" applyBorder="1" applyAlignment="1" applyProtection="1">
      <alignment vertical="center"/>
      <protection locked="0"/>
    </xf>
    <xf numFmtId="0" fontId="14" fillId="4" borderId="2" xfId="10" applyFont="1" applyFill="1" applyBorder="1" applyAlignment="1" applyProtection="1">
      <alignment vertical="center"/>
      <protection locked="0"/>
    </xf>
    <xf numFmtId="0" fontId="21" fillId="2" borderId="8" xfId="0" applyFont="1" applyFill="1" applyBorder="1" applyProtection="1">
      <protection locked="0"/>
    </xf>
    <xf numFmtId="0" fontId="25" fillId="2" borderId="8" xfId="0" applyFont="1" applyFill="1" applyBorder="1" applyAlignment="1" applyProtection="1">
      <protection hidden="1"/>
    </xf>
    <xf numFmtId="0" fontId="46" fillId="2" borderId="8" xfId="0" applyFont="1" applyFill="1" applyBorder="1"/>
    <xf numFmtId="0" fontId="0" fillId="0" borderId="0" xfId="0" applyFill="1"/>
    <xf numFmtId="0" fontId="35" fillId="0" borderId="0" xfId="20" applyFont="1" applyFill="1" applyBorder="1"/>
    <xf numFmtId="2" fontId="21" fillId="5" borderId="15" xfId="14" applyNumberFormat="1" applyFont="1" applyFill="1" applyBorder="1" applyAlignment="1" applyProtection="1">
      <alignment horizontal="center"/>
      <protection locked="0"/>
    </xf>
    <xf numFmtId="164" fontId="19" fillId="2" borderId="2" xfId="0" applyNumberFormat="1" applyFont="1" applyFill="1" applyBorder="1" applyAlignment="1">
      <alignment horizontal="right"/>
    </xf>
    <xf numFmtId="1" fontId="26" fillId="0" borderId="2" xfId="9" applyNumberFormat="1" applyFont="1" applyFill="1" applyBorder="1" applyAlignment="1">
      <alignment horizontal="center" vertical="top"/>
    </xf>
    <xf numFmtId="0" fontId="19" fillId="0" borderId="22" xfId="0" applyFont="1" applyFill="1" applyBorder="1" applyProtection="1">
      <protection hidden="1"/>
    </xf>
    <xf numFmtId="0" fontId="19" fillId="0" borderId="22" xfId="0" applyFont="1" applyFill="1" applyBorder="1"/>
    <xf numFmtId="0" fontId="19" fillId="0" borderId="13" xfId="0" applyFont="1" applyFill="1" applyBorder="1" applyProtection="1">
      <protection hidden="1"/>
    </xf>
    <xf numFmtId="0" fontId="19" fillId="0" borderId="8" xfId="0" applyFont="1" applyFill="1" applyBorder="1"/>
    <xf numFmtId="0" fontId="23" fillId="0" borderId="0" xfId="0" applyFont="1" applyFill="1" applyBorder="1" applyAlignment="1" applyProtection="1">
      <alignment horizontal="left"/>
      <protection locked="0"/>
    </xf>
    <xf numFmtId="0" fontId="21" fillId="0" borderId="0" xfId="0" applyFont="1" applyFill="1" applyBorder="1" applyProtection="1">
      <protection locked="0"/>
    </xf>
    <xf numFmtId="0" fontId="19" fillId="0" borderId="0" xfId="0" applyFont="1" applyFill="1" applyBorder="1" applyAlignment="1">
      <alignment horizontal="right"/>
    </xf>
    <xf numFmtId="0" fontId="19" fillId="0" borderId="0" xfId="0" applyFont="1" applyFill="1" applyBorder="1" applyAlignment="1"/>
    <xf numFmtId="0" fontId="19" fillId="0" borderId="4" xfId="0" applyFont="1" applyBorder="1"/>
    <xf numFmtId="2" fontId="19" fillId="2" borderId="4" xfId="0" applyNumberFormat="1" applyFont="1" applyFill="1" applyBorder="1" applyAlignment="1" applyProtection="1">
      <alignment horizontal="center"/>
      <protection hidden="1"/>
    </xf>
    <xf numFmtId="0" fontId="19" fillId="2" borderId="11" xfId="0" applyFont="1" applyFill="1" applyBorder="1" applyProtection="1">
      <protection hidden="1"/>
    </xf>
    <xf numFmtId="0" fontId="19" fillId="0" borderId="12" xfId="0" applyFont="1" applyFill="1" applyBorder="1" applyAlignment="1">
      <alignment horizontal="right"/>
    </xf>
    <xf numFmtId="0" fontId="19" fillId="0" borderId="10" xfId="0" applyFont="1" applyFill="1" applyBorder="1"/>
    <xf numFmtId="0" fontId="0" fillId="0" borderId="8" xfId="0" applyFill="1" applyBorder="1"/>
    <xf numFmtId="0" fontId="19" fillId="0" borderId="0" xfId="0" applyFont="1" applyFill="1" applyBorder="1" applyAlignment="1" applyProtection="1">
      <alignment horizontal="left"/>
      <protection hidden="1"/>
    </xf>
    <xf numFmtId="0" fontId="26" fillId="0" borderId="4" xfId="9" applyNumberFormat="1" applyFont="1" applyFill="1" applyBorder="1" applyAlignment="1">
      <alignment horizontal="center" vertical="top"/>
    </xf>
    <xf numFmtId="0" fontId="24" fillId="0" borderId="2" xfId="0" applyFont="1" applyBorder="1" applyAlignment="1">
      <alignment wrapText="1"/>
    </xf>
    <xf numFmtId="0" fontId="24" fillId="0" borderId="14" xfId="0" applyFont="1" applyBorder="1" applyAlignment="1">
      <alignment horizontal="right" vertical="center" wrapText="1"/>
    </xf>
    <xf numFmtId="0" fontId="24" fillId="2" borderId="13" xfId="0" applyFont="1" applyFill="1" applyBorder="1" applyAlignment="1">
      <alignment horizontal="right" vertical="center" wrapText="1"/>
    </xf>
    <xf numFmtId="0" fontId="24" fillId="0" borderId="13" xfId="0" applyFont="1" applyBorder="1" applyAlignment="1">
      <alignment horizontal="right" vertical="center" wrapText="1"/>
    </xf>
    <xf numFmtId="0" fontId="24" fillId="0" borderId="7" xfId="0" applyFont="1" applyBorder="1" applyAlignment="1">
      <alignment horizontal="right" vertical="center" wrapText="1"/>
    </xf>
    <xf numFmtId="0" fontId="24" fillId="0" borderId="8" xfId="0" applyFont="1" applyBorder="1" applyAlignment="1">
      <alignment horizontal="right" vertical="center" wrapText="1"/>
    </xf>
    <xf numFmtId="0" fontId="19" fillId="0" borderId="10" xfId="0" applyFont="1" applyBorder="1" applyAlignment="1">
      <alignment wrapText="1"/>
    </xf>
    <xf numFmtId="0" fontId="19" fillId="0" borderId="9" xfId="0" applyFont="1" applyBorder="1" applyAlignment="1">
      <alignment wrapText="1"/>
    </xf>
    <xf numFmtId="0" fontId="19" fillId="0" borderId="0" xfId="0" applyFont="1" applyBorder="1" applyAlignment="1">
      <alignment wrapText="1"/>
    </xf>
    <xf numFmtId="0" fontId="24" fillId="0" borderId="15" xfId="0" applyFont="1" applyBorder="1" applyAlignment="1">
      <alignment wrapText="1"/>
    </xf>
    <xf numFmtId="0" fontId="24" fillId="0" borderId="6" xfId="0" applyFont="1" applyBorder="1" applyAlignment="1">
      <alignment horizontal="left" vertical="center" wrapText="1"/>
    </xf>
    <xf numFmtId="0" fontId="0" fillId="0" borderId="0" xfId="0" applyBorder="1"/>
    <xf numFmtId="0" fontId="0" fillId="8" borderId="0" xfId="0" applyFill="1" applyBorder="1"/>
    <xf numFmtId="0" fontId="0" fillId="0" borderId="0" xfId="0" applyFill="1" applyBorder="1"/>
    <xf numFmtId="0" fontId="24" fillId="0" borderId="14" xfId="0" applyFont="1" applyBorder="1" applyAlignment="1">
      <alignment wrapText="1"/>
    </xf>
    <xf numFmtId="0" fontId="19" fillId="2" borderId="0" xfId="0" applyFont="1" applyFill="1" applyBorder="1" applyAlignment="1">
      <alignment horizontal="center" vertical="center"/>
    </xf>
    <xf numFmtId="0" fontId="28" fillId="2" borderId="0" xfId="0" applyFont="1" applyFill="1" applyBorder="1" applyAlignment="1" applyProtection="1">
      <alignment horizontal="right" vertical="center"/>
      <protection hidden="1"/>
    </xf>
    <xf numFmtId="0" fontId="19" fillId="0" borderId="8" xfId="0" quotePrefix="1" applyFont="1" applyFill="1" applyBorder="1" applyAlignment="1">
      <alignment vertical="top" wrapText="1"/>
    </xf>
    <xf numFmtId="0" fontId="31" fillId="0" borderId="8" xfId="0" applyFont="1" applyFill="1" applyBorder="1" applyAlignment="1">
      <alignment wrapText="1"/>
    </xf>
    <xf numFmtId="0" fontId="19" fillId="0" borderId="8" xfId="0" quotePrefix="1" applyFont="1" applyFill="1" applyBorder="1" applyAlignment="1">
      <alignment horizontal="left" vertical="top" wrapText="1"/>
    </xf>
    <xf numFmtId="0" fontId="24" fillId="0" borderId="0" xfId="0" applyFont="1" applyFill="1" applyBorder="1" applyAlignment="1">
      <alignment horizontal="center"/>
    </xf>
    <xf numFmtId="0" fontId="29" fillId="0" borderId="0" xfId="0" applyFont="1" applyFill="1" applyBorder="1" applyAlignment="1" applyProtection="1">
      <alignment horizontal="left"/>
      <protection hidden="1"/>
    </xf>
    <xf numFmtId="0" fontId="29" fillId="0" borderId="8" xfId="0" applyFont="1" applyFill="1" applyBorder="1" applyAlignment="1" applyProtection="1">
      <alignment horizontal="left"/>
      <protection hidden="1"/>
    </xf>
    <xf numFmtId="2" fontId="21" fillId="0" borderId="0" xfId="0" applyNumberFormat="1" applyFont="1" applyFill="1" applyBorder="1" applyAlignment="1" applyProtection="1">
      <alignment horizontal="center"/>
      <protection hidden="1"/>
    </xf>
    <xf numFmtId="0" fontId="19" fillId="0" borderId="18" xfId="0" applyFont="1" applyFill="1" applyBorder="1" applyAlignment="1" applyProtection="1">
      <alignment horizontal="left"/>
      <protection hidden="1"/>
    </xf>
    <xf numFmtId="0" fontId="24" fillId="0" borderId="18" xfId="0" applyFont="1" applyFill="1" applyBorder="1" applyAlignment="1">
      <alignment horizontal="center"/>
    </xf>
    <xf numFmtId="0" fontId="19" fillId="0" borderId="18" xfId="0" applyFont="1" applyFill="1" applyBorder="1" applyProtection="1">
      <protection hidden="1"/>
    </xf>
    <xf numFmtId="0" fontId="19" fillId="0" borderId="19" xfId="0" applyFont="1" applyFill="1" applyBorder="1" applyProtection="1">
      <protection hidden="1"/>
    </xf>
    <xf numFmtId="0" fontId="19" fillId="8" borderId="10" xfId="0" applyFont="1" applyFill="1" applyBorder="1" applyProtection="1">
      <protection hidden="1"/>
    </xf>
    <xf numFmtId="2" fontId="19" fillId="0" borderId="0" xfId="0" applyNumberFormat="1" applyFont="1" applyFill="1" applyBorder="1" applyProtection="1">
      <protection hidden="1"/>
    </xf>
    <xf numFmtId="2" fontId="24" fillId="0" borderId="0" xfId="0" applyNumberFormat="1" applyFont="1" applyFill="1" applyBorder="1" applyAlignment="1">
      <alignment horizontal="center"/>
    </xf>
    <xf numFmtId="2" fontId="0" fillId="0" borderId="0" xfId="0" applyNumberFormat="1" applyFill="1" applyBorder="1"/>
    <xf numFmtId="2" fontId="6" fillId="0" borderId="0" xfId="0" applyNumberFormat="1" applyFont="1" applyFill="1" applyBorder="1"/>
    <xf numFmtId="2" fontId="6" fillId="0" borderId="0" xfId="0" applyNumberFormat="1" applyFont="1" applyFill="1" applyBorder="1" applyAlignment="1">
      <alignment horizontal="center"/>
    </xf>
    <xf numFmtId="2" fontId="6" fillId="0" borderId="0" xfId="0" applyNumberFormat="1" applyFont="1" applyFill="1" applyBorder="1" applyAlignment="1">
      <alignment vertical="center" wrapText="1"/>
    </xf>
    <xf numFmtId="2" fontId="0" fillId="0" borderId="0" xfId="0" applyNumberFormat="1" applyFill="1" applyBorder="1" applyAlignment="1">
      <alignment vertical="center" wrapText="1"/>
    </xf>
    <xf numFmtId="1" fontId="0" fillId="0" borderId="0" xfId="0" applyNumberFormat="1" applyFill="1" applyBorder="1" applyAlignment="1">
      <alignment horizontal="center"/>
    </xf>
    <xf numFmtId="2" fontId="0" fillId="0" borderId="0" xfId="0" applyNumberFormat="1" applyFill="1" applyBorder="1" applyAlignment="1">
      <alignment horizontal="center"/>
    </xf>
    <xf numFmtId="2" fontId="45" fillId="0" borderId="0" xfId="0" applyNumberFormat="1" applyFont="1" applyFill="1" applyBorder="1"/>
    <xf numFmtId="2" fontId="0" fillId="0" borderId="0" xfId="0" applyNumberFormat="1" applyFill="1" applyBorder="1" applyAlignment="1">
      <alignment horizontal="right"/>
    </xf>
    <xf numFmtId="2" fontId="48" fillId="0" borderId="0" xfId="0" applyNumberFormat="1" applyFont="1" applyFill="1" applyBorder="1"/>
    <xf numFmtId="2" fontId="0" fillId="0" borderId="0" xfId="0" applyNumberFormat="1" applyBorder="1"/>
    <xf numFmtId="0" fontId="39" fillId="5" borderId="0" xfId="9" applyFont="1" applyFill="1" applyBorder="1" applyAlignment="1" applyProtection="1">
      <alignment vertical="center" wrapText="1"/>
    </xf>
    <xf numFmtId="0" fontId="24" fillId="0" borderId="0" xfId="0" applyFont="1" applyBorder="1" applyAlignment="1">
      <alignment horizontal="right" vertical="center" wrapText="1"/>
    </xf>
    <xf numFmtId="0" fontId="24" fillId="0" borderId="16" xfId="0" applyFont="1" applyBorder="1" applyAlignment="1">
      <alignment vertical="center" wrapText="1"/>
    </xf>
    <xf numFmtId="168" fontId="19" fillId="0" borderId="0" xfId="9" applyNumberFormat="1" applyFont="1" applyFill="1" applyBorder="1" applyAlignment="1">
      <alignment horizontal="center" vertical="top"/>
    </xf>
    <xf numFmtId="2" fontId="59" fillId="4" borderId="10" xfId="9" applyNumberFormat="1" applyFont="1" applyFill="1" applyBorder="1" applyAlignment="1">
      <alignment horizontal="center"/>
    </xf>
    <xf numFmtId="0" fontId="19" fillId="0" borderId="0" xfId="0" applyFont="1" applyFill="1" applyBorder="1" applyAlignment="1">
      <alignment horizontal="left" vertical="center"/>
    </xf>
    <xf numFmtId="0" fontId="19" fillId="2" borderId="15" xfId="0" applyFont="1" applyFill="1" applyBorder="1" applyAlignment="1">
      <alignment horizontal="right"/>
    </xf>
    <xf numFmtId="1" fontId="26" fillId="0" borderId="15" xfId="9" applyNumberFormat="1" applyFont="1" applyFill="1" applyBorder="1" applyAlignment="1">
      <alignment horizontal="center" vertical="top"/>
    </xf>
    <xf numFmtId="0" fontId="53" fillId="2" borderId="0" xfId="0" applyFont="1" applyFill="1" applyBorder="1" applyAlignment="1">
      <alignment horizontal="left"/>
    </xf>
    <xf numFmtId="2" fontId="20" fillId="2" borderId="0" xfId="0" applyNumberFormat="1" applyFont="1" applyFill="1" applyBorder="1" applyAlignment="1" applyProtection="1">
      <alignment horizontal="center"/>
      <protection hidden="1"/>
    </xf>
    <xf numFmtId="0" fontId="61" fillId="2" borderId="0" xfId="0" applyFont="1" applyFill="1" applyBorder="1"/>
    <xf numFmtId="0" fontId="22" fillId="2" borderId="0" xfId="0" applyFont="1" applyFill="1" applyBorder="1" applyAlignment="1">
      <alignment horizontal="center"/>
    </xf>
    <xf numFmtId="0" fontId="24" fillId="0" borderId="2" xfId="0" applyFont="1" applyBorder="1" applyAlignment="1">
      <alignment horizontal="left" vertical="center" wrapText="1"/>
    </xf>
    <xf numFmtId="0" fontId="19" fillId="0" borderId="4" xfId="0" applyFont="1" applyBorder="1" applyAlignment="1">
      <alignment vertical="top" wrapText="1"/>
    </xf>
    <xf numFmtId="0" fontId="19" fillId="0" borderId="0" xfId="9" applyNumberFormat="1" applyFont="1" applyFill="1" applyBorder="1" applyAlignment="1">
      <alignment vertical="top"/>
    </xf>
    <xf numFmtId="168" fontId="26" fillId="0" borderId="10" xfId="9" applyNumberFormat="1" applyFont="1" applyFill="1" applyBorder="1" applyAlignment="1">
      <alignment vertical="top"/>
    </xf>
    <xf numFmtId="0" fontId="19" fillId="0" borderId="10" xfId="9" applyNumberFormat="1" applyFont="1" applyFill="1" applyBorder="1" applyAlignment="1">
      <alignment vertical="top"/>
    </xf>
    <xf numFmtId="0" fontId="19" fillId="2" borderId="10" xfId="0" quotePrefix="1" applyFont="1" applyFill="1" applyBorder="1" applyAlignment="1" applyProtection="1">
      <alignment horizontal="right"/>
      <protection hidden="1"/>
    </xf>
    <xf numFmtId="0" fontId="53" fillId="2" borderId="10" xfId="0" applyFont="1" applyFill="1" applyBorder="1" applyProtection="1">
      <protection hidden="1"/>
    </xf>
    <xf numFmtId="0" fontId="13" fillId="5" borderId="5" xfId="9" applyFont="1" applyFill="1" applyBorder="1" applyAlignment="1" applyProtection="1">
      <alignment vertical="center"/>
    </xf>
    <xf numFmtId="0" fontId="19" fillId="2" borderId="5" xfId="0" applyFont="1" applyFill="1" applyBorder="1" applyProtection="1">
      <protection hidden="1"/>
    </xf>
    <xf numFmtId="0" fontId="50" fillId="5" borderId="5" xfId="9" applyFont="1" applyFill="1" applyBorder="1" applyAlignment="1" applyProtection="1">
      <alignment vertical="center"/>
    </xf>
    <xf numFmtId="0" fontId="18" fillId="5" borderId="5" xfId="9" applyFont="1" applyFill="1" applyBorder="1" applyAlignment="1" applyProtection="1">
      <alignment vertical="center"/>
    </xf>
    <xf numFmtId="0" fontId="19" fillId="8" borderId="23" xfId="0" applyFont="1" applyFill="1" applyBorder="1" applyProtection="1">
      <protection hidden="1"/>
    </xf>
    <xf numFmtId="0" fontId="24" fillId="2" borderId="5" xfId="0" applyFont="1" applyFill="1" applyBorder="1" applyProtection="1">
      <protection hidden="1"/>
    </xf>
    <xf numFmtId="0" fontId="24" fillId="0" borderId="5" xfId="0" applyFont="1" applyFill="1" applyBorder="1" applyProtection="1">
      <protection hidden="1"/>
    </xf>
    <xf numFmtId="0" fontId="19" fillId="0" borderId="5" xfId="0" applyFont="1" applyFill="1" applyBorder="1" applyProtection="1">
      <protection hidden="1"/>
    </xf>
    <xf numFmtId="0" fontId="19" fillId="0" borderId="12" xfId="0" applyFont="1" applyFill="1" applyBorder="1" applyProtection="1">
      <protection hidden="1"/>
    </xf>
    <xf numFmtId="0" fontId="24" fillId="2" borderId="5" xfId="0" applyFont="1" applyFill="1" applyBorder="1" applyAlignment="1" applyProtection="1">
      <alignment horizontal="left"/>
      <protection hidden="1"/>
    </xf>
    <xf numFmtId="0" fontId="19" fillId="0" borderId="5" xfId="0" applyFont="1" applyFill="1" applyBorder="1" applyAlignment="1" applyProtection="1">
      <alignment horizontal="left"/>
      <protection hidden="1"/>
    </xf>
    <xf numFmtId="0" fontId="24" fillId="0" borderId="5" xfId="0" applyFont="1" applyFill="1" applyBorder="1" applyAlignment="1" applyProtection="1">
      <alignment horizontal="left"/>
      <protection hidden="1"/>
    </xf>
    <xf numFmtId="0" fontId="19" fillId="0" borderId="24" xfId="0" applyFont="1" applyFill="1" applyBorder="1"/>
    <xf numFmtId="0" fontId="19" fillId="0" borderId="5" xfId="0" applyFont="1" applyFill="1" applyBorder="1" applyAlignment="1">
      <alignment horizontal="right"/>
    </xf>
    <xf numFmtId="0" fontId="19" fillId="0" borderId="5" xfId="0" applyFont="1" applyFill="1" applyBorder="1" applyAlignment="1">
      <alignment horizontal="left" vertical="top" wrapText="1"/>
    </xf>
    <xf numFmtId="0" fontId="22" fillId="2" borderId="5" xfId="0" applyFont="1" applyFill="1" applyBorder="1" applyProtection="1">
      <protection hidden="1"/>
    </xf>
    <xf numFmtId="0" fontId="19" fillId="2" borderId="25" xfId="0" applyFont="1" applyFill="1" applyBorder="1" applyProtection="1">
      <protection hidden="1"/>
    </xf>
    <xf numFmtId="0" fontId="44" fillId="2" borderId="5" xfId="0" applyFont="1" applyFill="1" applyBorder="1"/>
    <xf numFmtId="0" fontId="19" fillId="2" borderId="5" xfId="0" applyFont="1" applyFill="1" applyBorder="1"/>
    <xf numFmtId="0" fontId="24" fillId="2" borderId="5" xfId="0" applyFont="1" applyFill="1" applyBorder="1"/>
    <xf numFmtId="0" fontId="19" fillId="2" borderId="16" xfId="0" applyFont="1" applyFill="1" applyBorder="1"/>
    <xf numFmtId="0" fontId="19" fillId="2" borderId="5" xfId="0" applyFont="1" applyFill="1" applyBorder="1" applyAlignment="1">
      <alignment horizontal="center" vertical="center"/>
    </xf>
    <xf numFmtId="0" fontId="19" fillId="2" borderId="23" xfId="0" applyFont="1" applyFill="1" applyBorder="1" applyAlignment="1">
      <alignment horizontal="right"/>
    </xf>
    <xf numFmtId="0" fontId="46" fillId="2" borderId="5" xfId="0" applyFont="1" applyFill="1" applyBorder="1"/>
    <xf numFmtId="0" fontId="22" fillId="8" borderId="12" xfId="0" applyFont="1" applyFill="1" applyBorder="1" applyProtection="1">
      <protection hidden="1"/>
    </xf>
    <xf numFmtId="0" fontId="19" fillId="8" borderId="5" xfId="0" applyFont="1" applyFill="1" applyBorder="1" applyProtection="1">
      <protection hidden="1"/>
    </xf>
    <xf numFmtId="0" fontId="0" fillId="0" borderId="5" xfId="0" applyBorder="1"/>
    <xf numFmtId="0" fontId="0" fillId="8" borderId="8" xfId="0" applyFill="1" applyBorder="1"/>
    <xf numFmtId="0" fontId="0" fillId="0" borderId="8" xfId="0" applyBorder="1"/>
    <xf numFmtId="0" fontId="19" fillId="0" borderId="8" xfId="0" applyFont="1" applyBorder="1" applyAlignment="1">
      <alignment vertical="top" wrapText="1"/>
    </xf>
    <xf numFmtId="0" fontId="19" fillId="2" borderId="26" xfId="0" applyFont="1" applyFill="1" applyBorder="1" applyProtection="1">
      <protection hidden="1"/>
    </xf>
    <xf numFmtId="0" fontId="19" fillId="0" borderId="8" xfId="0" applyFont="1" applyFill="1" applyBorder="1" applyAlignment="1" applyProtection="1">
      <alignment vertical="top"/>
      <protection hidden="1"/>
    </xf>
    <xf numFmtId="0" fontId="19" fillId="0" borderId="8" xfId="0" applyFont="1" applyFill="1" applyBorder="1" applyAlignment="1" applyProtection="1">
      <alignment vertical="top" wrapText="1"/>
      <protection hidden="1"/>
    </xf>
    <xf numFmtId="0" fontId="19" fillId="2" borderId="8" xfId="0" applyFont="1" applyFill="1" applyBorder="1" applyAlignment="1" applyProtection="1">
      <alignment vertical="top" wrapText="1"/>
      <protection hidden="1"/>
    </xf>
    <xf numFmtId="0" fontId="46" fillId="2" borderId="8" xfId="0" applyFont="1" applyFill="1" applyBorder="1" applyProtection="1">
      <protection hidden="1"/>
    </xf>
    <xf numFmtId="0" fontId="37" fillId="2" borderId="11" xfId="0" applyFont="1" applyFill="1" applyBorder="1" applyAlignment="1" applyProtection="1">
      <alignment vertical="top" wrapText="1"/>
      <protection hidden="1"/>
    </xf>
    <xf numFmtId="0" fontId="14" fillId="5" borderId="0" xfId="9" applyFont="1" applyFill="1" applyBorder="1" applyAlignment="1" applyProtection="1">
      <alignment vertical="top" wrapText="1"/>
    </xf>
    <xf numFmtId="0" fontId="14" fillId="5" borderId="8" xfId="9" applyFont="1" applyFill="1" applyBorder="1" applyAlignment="1" applyProtection="1">
      <alignment vertical="top" wrapText="1"/>
    </xf>
    <xf numFmtId="0" fontId="66" fillId="5" borderId="5" xfId="9" applyFont="1" applyFill="1" applyBorder="1" applyAlignment="1" applyProtection="1">
      <alignment vertical="center"/>
    </xf>
    <xf numFmtId="0" fontId="19" fillId="0" borderId="0" xfId="0" applyFont="1" applyFill="1" applyBorder="1" applyAlignment="1" applyProtection="1">
      <alignment horizontal="right"/>
      <protection hidden="1"/>
    </xf>
    <xf numFmtId="2" fontId="19" fillId="0" borderId="0" xfId="0" applyNumberFormat="1" applyFont="1" applyBorder="1"/>
    <xf numFmtId="2" fontId="19" fillId="0" borderId="10" xfId="0" applyNumberFormat="1" applyFont="1" applyBorder="1"/>
    <xf numFmtId="0" fontId="19" fillId="0" borderId="2" xfId="0" applyFont="1" applyBorder="1" applyAlignment="1">
      <alignment horizontal="left" vertical="center" wrapText="1"/>
    </xf>
    <xf numFmtId="0" fontId="6" fillId="0" borderId="13" xfId="0" applyFont="1" applyFill="1" applyBorder="1" applyAlignment="1">
      <alignment vertical="center" wrapText="1"/>
    </xf>
    <xf numFmtId="0" fontId="24" fillId="0" borderId="9" xfId="0" applyFont="1" applyBorder="1" applyAlignment="1">
      <alignment horizontal="left" vertical="center" wrapText="1"/>
    </xf>
    <xf numFmtId="0" fontId="24" fillId="0" borderId="6" xfId="0" applyFont="1" applyBorder="1" applyAlignment="1">
      <alignment horizontal="left" wrapText="1"/>
    </xf>
    <xf numFmtId="0" fontId="24" fillId="0" borderId="7" xfId="0" applyFont="1" applyBorder="1" applyAlignment="1">
      <alignment horizontal="left" wrapText="1"/>
    </xf>
    <xf numFmtId="0" fontId="24" fillId="0" borderId="6" xfId="0" applyFont="1" applyBorder="1" applyAlignment="1">
      <alignment horizontal="left" vertical="center" wrapText="1"/>
    </xf>
    <xf numFmtId="0" fontId="24" fillId="0" borderId="7" xfId="0" applyFont="1" applyBorder="1" applyAlignment="1">
      <alignment horizontal="left" vertical="center" wrapText="1"/>
    </xf>
    <xf numFmtId="0" fontId="19" fillId="0" borderId="12" xfId="0" applyFont="1" applyBorder="1" applyAlignment="1">
      <alignment horizontal="left" vertical="center" wrapText="1"/>
    </xf>
    <xf numFmtId="0" fontId="19" fillId="0" borderId="13" xfId="0" applyFont="1" applyBorder="1" applyAlignment="1">
      <alignment horizontal="left" vertical="center" wrapText="1"/>
    </xf>
    <xf numFmtId="0" fontId="19" fillId="0" borderId="6" xfId="0" applyFont="1" applyBorder="1" applyAlignment="1">
      <alignment horizontal="left" wrapText="1"/>
    </xf>
    <xf numFmtId="0" fontId="19" fillId="0" borderId="7" xfId="0" applyFont="1" applyBorder="1" applyAlignment="1">
      <alignment horizontal="left" wrapText="1"/>
    </xf>
    <xf numFmtId="0" fontId="19" fillId="0" borderId="6" xfId="0" applyFont="1" applyBorder="1" applyAlignment="1">
      <alignment horizontal="left" vertical="center" wrapText="1"/>
    </xf>
    <xf numFmtId="0" fontId="19" fillId="0" borderId="7" xfId="0" applyFont="1" applyBorder="1" applyAlignment="1">
      <alignment horizontal="left" vertical="center" wrapText="1"/>
    </xf>
    <xf numFmtId="0" fontId="19" fillId="0" borderId="11" xfId="0" applyFont="1" applyBorder="1" applyAlignment="1">
      <alignment horizontal="left" wrapText="1"/>
    </xf>
    <xf numFmtId="0" fontId="22" fillId="7" borderId="10" xfId="0" applyFont="1" applyFill="1" applyBorder="1" applyAlignment="1">
      <alignment horizontal="left" wrapText="1"/>
    </xf>
    <xf numFmtId="0" fontId="22" fillId="7" borderId="13" xfId="0" applyFont="1" applyFill="1" applyBorder="1" applyAlignment="1">
      <alignment horizontal="left" wrapText="1"/>
    </xf>
    <xf numFmtId="0" fontId="22" fillId="7" borderId="0" xfId="0" applyFont="1" applyFill="1" applyAlignment="1">
      <alignment horizontal="left" vertical="center" wrapText="1"/>
    </xf>
    <xf numFmtId="0" fontId="19" fillId="7" borderId="8" xfId="0" applyFont="1" applyFill="1" applyBorder="1" applyAlignment="1">
      <alignment horizontal="left" vertical="center" wrapText="1"/>
    </xf>
    <xf numFmtId="0" fontId="38" fillId="7" borderId="10" xfId="9" applyFont="1" applyFill="1" applyBorder="1" applyAlignment="1" applyProtection="1">
      <alignment horizontal="left" vertical="center" wrapText="1"/>
    </xf>
    <xf numFmtId="0" fontId="38" fillId="7" borderId="13" xfId="9" applyFont="1" applyFill="1" applyBorder="1" applyAlignment="1" applyProtection="1">
      <alignment horizontal="left" vertical="center" wrapText="1"/>
    </xf>
    <xf numFmtId="0" fontId="24" fillId="0" borderId="6" xfId="0" applyFont="1" applyBorder="1" applyAlignment="1">
      <alignment horizontal="center" vertical="center" wrapText="1"/>
    </xf>
    <xf numFmtId="0" fontId="24" fillId="0" borderId="7" xfId="0" applyFont="1" applyBorder="1" applyAlignment="1">
      <alignment horizontal="center" vertical="center" wrapText="1"/>
    </xf>
    <xf numFmtId="0" fontId="19" fillId="0" borderId="6" xfId="0" applyFont="1" applyBorder="1" applyAlignment="1">
      <alignment horizontal="left" vertical="top" wrapText="1"/>
    </xf>
    <xf numFmtId="0" fontId="19" fillId="0" borderId="7" xfId="0" applyFont="1" applyBorder="1" applyAlignment="1">
      <alignment horizontal="left" vertical="top" wrapText="1"/>
    </xf>
    <xf numFmtId="2" fontId="6" fillId="0" borderId="2" xfId="0" applyNumberFormat="1" applyFont="1" applyFill="1" applyBorder="1" applyAlignment="1">
      <alignment horizontal="center" vertical="center" wrapText="1"/>
    </xf>
    <xf numFmtId="0" fontId="22" fillId="2" borderId="2" xfId="0" applyFont="1" applyFill="1" applyBorder="1" applyAlignment="1" applyProtection="1">
      <alignment horizontal="center"/>
      <protection hidden="1"/>
    </xf>
    <xf numFmtId="0" fontId="19" fillId="2" borderId="3" xfId="0" applyFont="1" applyFill="1" applyBorder="1" applyAlignment="1" applyProtection="1">
      <alignment horizontal="left" vertical="top" wrapText="1"/>
      <protection hidden="1"/>
    </xf>
    <xf numFmtId="0" fontId="19" fillId="2" borderId="11" xfId="0" applyFont="1" applyFill="1" applyBorder="1" applyAlignment="1" applyProtection="1">
      <alignment horizontal="left" vertical="top" wrapText="1"/>
      <protection hidden="1"/>
    </xf>
    <xf numFmtId="0" fontId="19" fillId="2" borderId="5" xfId="0" applyFont="1" applyFill="1" applyBorder="1" applyAlignment="1" applyProtection="1">
      <alignment horizontal="left" vertical="top" wrapText="1"/>
      <protection hidden="1"/>
    </xf>
    <xf numFmtId="0" fontId="19" fillId="2" borderId="8" xfId="0" applyFont="1" applyFill="1" applyBorder="1" applyAlignment="1" applyProtection="1">
      <alignment horizontal="left" vertical="top" wrapText="1"/>
      <protection hidden="1"/>
    </xf>
    <xf numFmtId="0" fontId="19" fillId="2" borderId="12" xfId="0" applyFont="1" applyFill="1" applyBorder="1" applyAlignment="1" applyProtection="1">
      <alignment horizontal="left" vertical="top" wrapText="1"/>
      <protection hidden="1"/>
    </xf>
    <xf numFmtId="0" fontId="19" fillId="2" borderId="13" xfId="0" applyFont="1" applyFill="1" applyBorder="1" applyAlignment="1" applyProtection="1">
      <alignment horizontal="left" vertical="top" wrapText="1"/>
      <protection hidden="1"/>
    </xf>
    <xf numFmtId="0" fontId="19" fillId="2" borderId="3" xfId="0" applyFont="1" applyFill="1" applyBorder="1" applyAlignment="1">
      <alignment horizontal="left" vertical="top" wrapText="1"/>
    </xf>
    <xf numFmtId="0" fontId="19" fillId="2" borderId="4" xfId="0" applyFont="1" applyFill="1" applyBorder="1" applyAlignment="1">
      <alignment horizontal="left" vertical="top" wrapText="1"/>
    </xf>
    <xf numFmtId="0" fontId="19" fillId="2" borderId="5" xfId="0" applyFont="1" applyFill="1" applyBorder="1" applyAlignment="1">
      <alignment horizontal="left" vertical="top" wrapText="1"/>
    </xf>
    <xf numFmtId="0" fontId="19" fillId="2" borderId="0" xfId="0" applyFont="1" applyFill="1" applyBorder="1" applyAlignment="1">
      <alignment horizontal="left" vertical="top" wrapText="1"/>
    </xf>
    <xf numFmtId="0" fontId="19" fillId="2" borderId="12" xfId="0" applyFont="1" applyFill="1" applyBorder="1" applyAlignment="1">
      <alignment horizontal="left" vertical="top" wrapText="1"/>
    </xf>
    <xf numFmtId="0" fontId="19" fillId="2" borderId="10" xfId="0" applyFont="1" applyFill="1" applyBorder="1" applyAlignment="1">
      <alignment horizontal="left" vertical="top" wrapText="1"/>
    </xf>
    <xf numFmtId="0" fontId="19" fillId="2" borderId="3" xfId="0" applyFont="1" applyFill="1" applyBorder="1" applyAlignment="1" applyProtection="1">
      <alignment horizontal="left" vertical="center" wrapText="1"/>
      <protection hidden="1"/>
    </xf>
    <xf numFmtId="0" fontId="19" fillId="2" borderId="11" xfId="0" applyFont="1" applyFill="1" applyBorder="1" applyAlignment="1" applyProtection="1">
      <alignment horizontal="left" vertical="center" wrapText="1"/>
      <protection hidden="1"/>
    </xf>
    <xf numFmtId="0" fontId="19" fillId="2" borderId="5" xfId="0" applyFont="1" applyFill="1" applyBorder="1" applyAlignment="1" applyProtection="1">
      <alignment horizontal="left" vertical="center" wrapText="1"/>
      <protection hidden="1"/>
    </xf>
    <xf numFmtId="0" fontId="19" fillId="2" borderId="8" xfId="0" applyFont="1" applyFill="1" applyBorder="1" applyAlignment="1" applyProtection="1">
      <alignment horizontal="left" vertical="center" wrapText="1"/>
      <protection hidden="1"/>
    </xf>
    <xf numFmtId="0" fontId="19" fillId="2" borderId="0" xfId="0" applyFont="1" applyFill="1" applyBorder="1" applyAlignment="1" applyProtection="1">
      <alignment horizontal="left" vertical="center" wrapText="1"/>
      <protection hidden="1"/>
    </xf>
    <xf numFmtId="0" fontId="19" fillId="2" borderId="10" xfId="0" applyFont="1" applyFill="1" applyBorder="1" applyAlignment="1" applyProtection="1">
      <alignment horizontal="left" vertical="center" wrapText="1"/>
      <protection hidden="1"/>
    </xf>
    <xf numFmtId="0" fontId="19" fillId="2" borderId="13" xfId="0" applyFont="1" applyFill="1" applyBorder="1" applyAlignment="1" applyProtection="1">
      <alignment horizontal="left" vertical="center" wrapText="1"/>
      <protection hidden="1"/>
    </xf>
    <xf numFmtId="0" fontId="19" fillId="0" borderId="2" xfId="0" applyFont="1" applyBorder="1" applyAlignment="1">
      <alignment horizontal="left" vertical="top" wrapText="1"/>
    </xf>
    <xf numFmtId="0" fontId="19" fillId="0" borderId="3" xfId="0" applyFont="1" applyBorder="1" applyAlignment="1">
      <alignment horizontal="left" vertical="top" wrapText="1"/>
    </xf>
    <xf numFmtId="0" fontId="19" fillId="0" borderId="11" xfId="0" applyFont="1" applyBorder="1" applyAlignment="1">
      <alignment horizontal="left" vertical="top" wrapText="1"/>
    </xf>
    <xf numFmtId="0" fontId="19" fillId="0" borderId="5" xfId="0" applyFont="1" applyBorder="1" applyAlignment="1">
      <alignment horizontal="left" vertical="top" wrapText="1"/>
    </xf>
    <xf numFmtId="0" fontId="19" fillId="0" borderId="8" xfId="0" applyFont="1" applyBorder="1" applyAlignment="1">
      <alignment horizontal="left" vertical="top" wrapText="1"/>
    </xf>
    <xf numFmtId="0" fontId="19" fillId="0" borderId="12" xfId="0" applyFont="1" applyBorder="1" applyAlignment="1">
      <alignment horizontal="left" vertical="top" wrapText="1"/>
    </xf>
    <xf numFmtId="0" fontId="19" fillId="0" borderId="13" xfId="0" applyFont="1" applyBorder="1" applyAlignment="1">
      <alignment horizontal="left" vertical="top" wrapText="1"/>
    </xf>
    <xf numFmtId="0" fontId="19" fillId="2" borderId="6" xfId="0" applyFont="1" applyFill="1" applyBorder="1" applyAlignment="1" applyProtection="1">
      <alignment horizontal="left" vertical="top"/>
      <protection hidden="1"/>
    </xf>
    <xf numFmtId="0" fontId="19" fillId="2" borderId="7" xfId="0" applyFont="1" applyFill="1" applyBorder="1" applyAlignment="1" applyProtection="1">
      <alignment horizontal="left" vertical="top"/>
      <protection hidden="1"/>
    </xf>
    <xf numFmtId="0" fontId="16" fillId="5" borderId="6" xfId="10" applyFont="1" applyFill="1" applyBorder="1" applyAlignment="1" applyProtection="1">
      <alignment vertical="center" wrapText="1"/>
    </xf>
    <xf numFmtId="0" fontId="16" fillId="5" borderId="9" xfId="10" applyFont="1" applyFill="1" applyBorder="1" applyAlignment="1" applyProtection="1">
      <alignment vertical="center" wrapText="1"/>
    </xf>
    <xf numFmtId="0" fontId="16" fillId="5" borderId="7" xfId="10" applyFont="1" applyFill="1" applyBorder="1" applyAlignment="1" applyProtection="1">
      <alignment vertical="center" wrapText="1"/>
    </xf>
    <xf numFmtId="0" fontId="15" fillId="4" borderId="2" xfId="10" applyFont="1" applyFill="1" applyBorder="1" applyAlignment="1" applyProtection="1">
      <alignment vertical="center"/>
      <protection locked="0"/>
    </xf>
    <xf numFmtId="0" fontId="19" fillId="0" borderId="3" xfId="0" applyFont="1" applyBorder="1" applyAlignment="1">
      <alignment horizontal="center" vertical="top" wrapText="1"/>
    </xf>
    <xf numFmtId="0" fontId="19" fillId="0" borderId="11" xfId="0" applyFont="1" applyBorder="1" applyAlignment="1">
      <alignment horizontal="center" vertical="top" wrapText="1"/>
    </xf>
    <xf numFmtId="0" fontId="19" fillId="0" borderId="5" xfId="0" applyFont="1" applyBorder="1" applyAlignment="1">
      <alignment horizontal="center" vertical="top" wrapText="1"/>
    </xf>
    <xf numFmtId="0" fontId="19" fillId="0" borderId="8" xfId="0" applyFont="1" applyBorder="1" applyAlignment="1">
      <alignment horizontal="center" vertical="top" wrapText="1"/>
    </xf>
    <xf numFmtId="0" fontId="19" fillId="0" borderId="12" xfId="0" applyFont="1" applyBorder="1" applyAlignment="1">
      <alignment horizontal="center" vertical="top" wrapText="1"/>
    </xf>
    <xf numFmtId="0" fontId="19" fillId="0" borderId="13" xfId="0" applyFont="1" applyBorder="1" applyAlignment="1">
      <alignment horizontal="center" vertical="top" wrapText="1"/>
    </xf>
    <xf numFmtId="0" fontId="33" fillId="0" borderId="4" xfId="0" applyFont="1" applyBorder="1" applyAlignment="1">
      <alignment horizontal="center" vertical="top" wrapText="1"/>
    </xf>
    <xf numFmtId="0" fontId="33" fillId="0" borderId="11" xfId="0" applyFont="1" applyBorder="1" applyAlignment="1">
      <alignment horizontal="center" vertical="top" wrapText="1"/>
    </xf>
    <xf numFmtId="0" fontId="33" fillId="0" borderId="12" xfId="0" applyFont="1" applyBorder="1" applyAlignment="1">
      <alignment horizontal="center" vertical="top" wrapText="1"/>
    </xf>
    <xf numFmtId="0" fontId="33" fillId="0" borderId="10" xfId="0" applyFont="1" applyBorder="1" applyAlignment="1">
      <alignment horizontal="center" vertical="top" wrapText="1"/>
    </xf>
    <xf numFmtId="0" fontId="33" fillId="0" borderId="13" xfId="0" applyFont="1" applyBorder="1" applyAlignment="1">
      <alignment horizontal="center" vertical="top" wrapText="1"/>
    </xf>
    <xf numFmtId="0" fontId="19" fillId="2" borderId="0" xfId="0" quotePrefix="1" applyFont="1" applyFill="1" applyBorder="1" applyAlignment="1" applyProtection="1">
      <alignment horizontal="left" wrapText="1"/>
      <protection hidden="1"/>
    </xf>
    <xf numFmtId="0" fontId="19" fillId="2" borderId="8" xfId="0" quotePrefix="1" applyFont="1" applyFill="1" applyBorder="1" applyAlignment="1" applyProtection="1">
      <alignment horizontal="left" wrapText="1"/>
      <protection hidden="1"/>
    </xf>
    <xf numFmtId="0" fontId="19" fillId="0" borderId="0" xfId="0" applyFont="1" applyFill="1" applyBorder="1" applyAlignment="1">
      <alignment horizontal="right"/>
    </xf>
    <xf numFmtId="49" fontId="19" fillId="2" borderId="0" xfId="0" applyNumberFormat="1" applyFont="1" applyFill="1" applyBorder="1" applyAlignment="1">
      <alignment horizontal="right"/>
    </xf>
    <xf numFmtId="0" fontId="24" fillId="2" borderId="3" xfId="0" applyFont="1" applyFill="1" applyBorder="1" applyAlignment="1">
      <alignment horizontal="center" vertical="center"/>
    </xf>
    <xf numFmtId="0" fontId="24" fillId="2" borderId="4" xfId="0" applyFont="1" applyFill="1" applyBorder="1" applyAlignment="1">
      <alignment horizontal="center" vertical="center"/>
    </xf>
    <xf numFmtId="0" fontId="24" fillId="2" borderId="11" xfId="0" applyFont="1" applyFill="1" applyBorder="1" applyAlignment="1">
      <alignment horizontal="center" vertical="center"/>
    </xf>
    <xf numFmtId="0" fontId="24" fillId="2" borderId="12" xfId="0" applyFont="1" applyFill="1" applyBorder="1" applyAlignment="1">
      <alignment horizontal="center" vertical="center"/>
    </xf>
    <xf numFmtId="0" fontId="24" fillId="2" borderId="10" xfId="0" applyFont="1" applyFill="1" applyBorder="1" applyAlignment="1">
      <alignment horizontal="center" vertical="center"/>
    </xf>
    <xf numFmtId="0" fontId="24" fillId="2" borderId="13" xfId="0" applyFont="1" applyFill="1" applyBorder="1" applyAlignment="1">
      <alignment horizontal="center" vertical="center"/>
    </xf>
    <xf numFmtId="0" fontId="19" fillId="0" borderId="2" xfId="0" applyFont="1" applyFill="1" applyBorder="1" applyAlignment="1">
      <alignment horizontal="left" vertical="top" wrapText="1"/>
    </xf>
    <xf numFmtId="0" fontId="19" fillId="0" borderId="0" xfId="0" applyFont="1" applyBorder="1" applyAlignment="1">
      <alignment horizontal="right"/>
    </xf>
    <xf numFmtId="0" fontId="19" fillId="2" borderId="18" xfId="0" applyFont="1" applyFill="1" applyBorder="1" applyAlignment="1" applyProtection="1">
      <alignment horizontal="right"/>
      <protection hidden="1"/>
    </xf>
    <xf numFmtId="0" fontId="19" fillId="2" borderId="0" xfId="0" applyFont="1" applyFill="1" applyBorder="1" applyAlignment="1" applyProtection="1">
      <alignment horizontal="right"/>
      <protection hidden="1"/>
    </xf>
    <xf numFmtId="0" fontId="11" fillId="4" borderId="3" xfId="9" applyFont="1" applyFill="1" applyBorder="1" applyAlignment="1" applyProtection="1">
      <alignment horizontal="left" vertical="center"/>
      <protection locked="0"/>
    </xf>
    <xf numFmtId="0" fontId="11" fillId="4" borderId="11" xfId="9" applyFont="1" applyFill="1" applyBorder="1" applyAlignment="1" applyProtection="1">
      <alignment horizontal="left" vertical="center"/>
      <protection locked="0"/>
    </xf>
    <xf numFmtId="0" fontId="11" fillId="4" borderId="5" xfId="9" applyFont="1" applyFill="1" applyBorder="1" applyAlignment="1" applyProtection="1">
      <alignment horizontal="left" vertical="center"/>
      <protection locked="0"/>
    </xf>
    <xf numFmtId="0" fontId="11" fillId="4" borderId="8" xfId="9" applyFont="1" applyFill="1" applyBorder="1" applyAlignment="1" applyProtection="1">
      <alignment horizontal="left" vertical="center"/>
      <protection locked="0"/>
    </xf>
    <xf numFmtId="0" fontId="11" fillId="4" borderId="12" xfId="9" applyFont="1" applyFill="1" applyBorder="1" applyAlignment="1" applyProtection="1">
      <alignment horizontal="left" vertical="center"/>
      <protection locked="0"/>
    </xf>
    <xf numFmtId="0" fontId="11" fillId="4" borderId="13" xfId="9" applyFont="1" applyFill="1" applyBorder="1" applyAlignment="1" applyProtection="1">
      <alignment horizontal="left" vertical="center"/>
      <protection locked="0"/>
    </xf>
    <xf numFmtId="0" fontId="19" fillId="2" borderId="0" xfId="0" applyFont="1" applyFill="1" applyBorder="1" applyAlignment="1">
      <alignment horizontal="right"/>
    </xf>
    <xf numFmtId="0" fontId="19" fillId="2" borderId="0" xfId="0" quotePrefix="1" applyFont="1" applyFill="1" applyBorder="1" applyAlignment="1">
      <alignment wrapText="1"/>
    </xf>
    <xf numFmtId="0" fontId="19" fillId="2" borderId="8" xfId="0" quotePrefix="1" applyFont="1" applyFill="1" applyBorder="1" applyAlignment="1">
      <alignment wrapText="1"/>
    </xf>
    <xf numFmtId="0" fontId="19" fillId="2" borderId="0" xfId="0" quotePrefix="1" applyFont="1" applyFill="1" applyBorder="1" applyAlignment="1" applyProtection="1">
      <alignment horizontal="left" vertical="top" wrapText="1"/>
      <protection hidden="1"/>
    </xf>
    <xf numFmtId="0" fontId="19" fillId="2" borderId="8" xfId="0" quotePrefix="1" applyFont="1" applyFill="1" applyBorder="1" applyAlignment="1" applyProtection="1">
      <alignment horizontal="left" vertical="top" wrapText="1"/>
      <protection hidden="1"/>
    </xf>
    <xf numFmtId="0" fontId="19" fillId="2" borderId="4" xfId="0" applyFont="1" applyFill="1" applyBorder="1" applyAlignment="1" applyProtection="1">
      <alignment horizontal="left" vertical="top" wrapText="1"/>
      <protection hidden="1"/>
    </xf>
    <xf numFmtId="0" fontId="19" fillId="2" borderId="0" xfId="0" applyFont="1" applyFill="1" applyBorder="1" applyAlignment="1" applyProtection="1">
      <alignment horizontal="left" vertical="top" wrapText="1"/>
      <protection hidden="1"/>
    </xf>
    <xf numFmtId="0" fontId="19" fillId="2" borderId="10" xfId="0" applyFont="1" applyFill="1" applyBorder="1" applyAlignment="1" applyProtection="1">
      <alignment horizontal="left" vertical="top" wrapText="1"/>
      <protection hidden="1"/>
    </xf>
    <xf numFmtId="0" fontId="6" fillId="0" borderId="5" xfId="0" applyFont="1" applyBorder="1" applyAlignment="1">
      <alignment horizontal="left" vertical="center" wrapText="1"/>
    </xf>
    <xf numFmtId="0" fontId="6" fillId="0" borderId="8" xfId="0" applyFont="1" applyBorder="1" applyAlignment="1">
      <alignment horizontal="left" vertical="center"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2" fontId="6" fillId="0" borderId="2" xfId="0" applyNumberFormat="1" applyFont="1" applyFill="1" applyBorder="1" applyAlignment="1">
      <alignment horizontal="center" wrapText="1"/>
    </xf>
    <xf numFmtId="0" fontId="14" fillId="5" borderId="0" xfId="9" applyFont="1" applyFill="1" applyBorder="1" applyAlignment="1" applyProtection="1">
      <alignment horizontal="left" vertical="top" wrapText="1"/>
    </xf>
    <xf numFmtId="0" fontId="14" fillId="5" borderId="8" xfId="9" applyFont="1" applyFill="1" applyBorder="1" applyAlignment="1" applyProtection="1">
      <alignment horizontal="left" vertical="top" wrapText="1"/>
    </xf>
    <xf numFmtId="0" fontId="19" fillId="0" borderId="0" xfId="0" applyFont="1" applyBorder="1" applyAlignment="1">
      <alignment horizontal="left" vertical="top" wrapText="1"/>
    </xf>
    <xf numFmtId="0" fontId="19" fillId="0" borderId="10" xfId="0" applyFont="1" applyBorder="1" applyAlignment="1">
      <alignment horizontal="left" vertical="top" wrapText="1"/>
    </xf>
    <xf numFmtId="0" fontId="19" fillId="0" borderId="3" xfId="0" applyFont="1" applyBorder="1" applyAlignment="1">
      <alignment horizontal="right"/>
    </xf>
    <xf numFmtId="0" fontId="19" fillId="0" borderId="4" xfId="0" applyFont="1" applyBorder="1" applyAlignment="1">
      <alignment horizontal="right"/>
    </xf>
    <xf numFmtId="0" fontId="19" fillId="2" borderId="2" xfId="0" applyFont="1" applyFill="1" applyBorder="1" applyAlignment="1" applyProtection="1">
      <alignment horizontal="center"/>
      <protection hidden="1"/>
    </xf>
    <xf numFmtId="0" fontId="19" fillId="2" borderId="0" xfId="0" quotePrefix="1" applyFont="1" applyFill="1" applyBorder="1" applyAlignment="1" applyProtection="1">
      <alignment horizontal="left" vertical="top" wrapText="1"/>
    </xf>
    <xf numFmtId="0" fontId="19" fillId="0" borderId="5" xfId="0" applyFont="1" applyBorder="1" applyAlignment="1" applyProtection="1">
      <alignment horizontal="left" vertical="top" wrapText="1"/>
    </xf>
    <xf numFmtId="0" fontId="19" fillId="0" borderId="0" xfId="0" applyFont="1" applyBorder="1" applyAlignment="1" applyProtection="1">
      <alignment horizontal="left" vertical="top" wrapText="1"/>
    </xf>
  </cellXfs>
  <cellStyles count="37">
    <cellStyle name="Comma0" xfId="1"/>
    <cellStyle name="Currency0" xfId="2"/>
    <cellStyle name="Date" xfId="3"/>
    <cellStyle name="Fixed" xfId="4"/>
    <cellStyle name="Heading 1" xfId="5" builtinId="16" customBuiltin="1"/>
    <cellStyle name="Heading 1 2" xfId="15"/>
    <cellStyle name="Heading 2" xfId="6" builtinId="17" customBuiltin="1"/>
    <cellStyle name="Heading 2 2" xfId="16"/>
    <cellStyle name="Normal" xfId="0" builtinId="0"/>
    <cellStyle name="Normal 2" xfId="9"/>
    <cellStyle name="Normal 2 2" xfId="10"/>
    <cellStyle name="Normal 2 2 2" xfId="13"/>
    <cellStyle name="Normal 2 2 2 2" xfId="25"/>
    <cellStyle name="Normal 2 2 2 3" xfId="33"/>
    <cellStyle name="Normal 2 2 3" xfId="23"/>
    <cellStyle name="Normal 2 2 4" xfId="31"/>
    <cellStyle name="Normal 2 3" xfId="11"/>
    <cellStyle name="Normal 2 4" xfId="19"/>
    <cellStyle name="Normal 2 4 2" xfId="27"/>
    <cellStyle name="Normal 2 4 3" xfId="35"/>
    <cellStyle name="Normal 2 5" xfId="22"/>
    <cellStyle name="Normal 2 6" xfId="30"/>
    <cellStyle name="Normal 3" xfId="8"/>
    <cellStyle name="Normal 3 2" xfId="18"/>
    <cellStyle name="Normal 3 2 2" xfId="26"/>
    <cellStyle name="Normal 3 2 3" xfId="34"/>
    <cellStyle name="Normal 3 3" xfId="21"/>
    <cellStyle name="Normal 3 4" xfId="29"/>
    <cellStyle name="Normal 4" xfId="14"/>
    <cellStyle name="Normal 5" xfId="12"/>
    <cellStyle name="Normal 5 2" xfId="24"/>
    <cellStyle name="Normal 5 3" xfId="32"/>
    <cellStyle name="Normal 6" xfId="20"/>
    <cellStyle name="Normal 6 2" xfId="28"/>
    <cellStyle name="Normal 6 3" xfId="36"/>
    <cellStyle name="Total" xfId="7" builtinId="25" customBuiltin="1"/>
    <cellStyle name="Total 2" xfId="17"/>
  </cellStyles>
  <dxfs count="133">
    <dxf>
      <font>
        <condense val="0"/>
        <extend val="0"/>
        <color rgb="FF9C0006"/>
      </font>
    </dxf>
    <dxf>
      <font>
        <condense val="0"/>
        <extend val="0"/>
        <color rgb="FF9C0006"/>
      </font>
    </dxf>
    <dxf>
      <font>
        <condense val="0"/>
        <extend val="0"/>
        <color rgb="FF9C0006"/>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dxf>
    <dxf>
      <font>
        <b val="0"/>
        <i val="0"/>
        <strike val="0"/>
        <condense val="0"/>
        <extend val="0"/>
        <outline val="0"/>
        <shadow val="0"/>
        <u val="none"/>
        <vertAlign val="baseline"/>
        <sz val="10"/>
        <color auto="1"/>
        <name val="Arial"/>
        <scheme val="none"/>
      </font>
      <numFmt numFmtId="2" formatCode="0.00"/>
      <fill>
        <patternFill patternType="none">
          <fgColor indexed="64"/>
          <bgColor auto="1"/>
        </patternFill>
      </fill>
      <alignment horizontal="center" vertical="bottom" textRotation="0" wrapText="0" indent="0" justifyLastLine="0" shrinkToFit="0" readingOrder="0"/>
    </dxf>
    <dxf>
      <numFmt numFmtId="1" formatCode="0"/>
      <fill>
        <patternFill patternType="none">
          <fgColor indexed="64"/>
          <bgColor auto="1"/>
        </patternFill>
      </fill>
      <alignment horizontal="center" vertical="bottom" textRotation="0" wrapText="0" indent="0" justifyLastLine="0" shrinkToFit="0" readingOrder="0"/>
    </dxf>
    <dxf>
      <numFmt numFmtId="2" formatCode="0.00"/>
      <fill>
        <patternFill patternType="none">
          <fgColor indexed="64"/>
          <bgColor auto="1"/>
        </patternFill>
      </fill>
    </dxf>
    <dxf>
      <font>
        <b val="0"/>
        <i val="0"/>
        <strike val="0"/>
        <condense val="0"/>
        <extend val="0"/>
        <outline val="0"/>
        <shadow val="0"/>
        <u val="none"/>
        <vertAlign val="baseline"/>
        <sz val="10"/>
        <color auto="1"/>
        <name val="Arial"/>
        <scheme val="none"/>
      </font>
      <numFmt numFmtId="2" formatCode="0.0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color theme="9"/>
      </font>
    </dxf>
    <dxf>
      <font>
        <b/>
        <i val="0"/>
        <color rgb="FF00B050"/>
      </font>
    </dxf>
    <dxf>
      <font>
        <b/>
        <i val="0"/>
        <color theme="9"/>
      </font>
    </dxf>
    <dxf>
      <font>
        <b/>
        <i val="0"/>
        <color rgb="FF00B050"/>
      </font>
    </dxf>
    <dxf>
      <font>
        <b/>
        <i val="0"/>
        <color rgb="FF00B050"/>
      </font>
    </dxf>
    <dxf>
      <font>
        <b/>
        <i val="0"/>
        <condense val="0"/>
        <extend val="0"/>
        <color indexed="10"/>
      </font>
    </dxf>
    <dxf>
      <font>
        <b/>
        <i val="0"/>
        <condense val="0"/>
        <extend val="0"/>
        <color indexed="10"/>
      </font>
    </dxf>
    <dxf>
      <font>
        <b/>
        <i val="0"/>
        <color rgb="FF00B050"/>
      </font>
    </dxf>
    <dxf>
      <font>
        <b/>
        <i val="0"/>
        <condense val="0"/>
        <extend val="0"/>
        <color indexed="10"/>
      </font>
    </dxf>
    <dxf>
      <font>
        <b/>
        <i val="0"/>
        <condense val="0"/>
        <extend val="0"/>
        <color indexed="10"/>
      </font>
    </dxf>
    <dxf>
      <font>
        <b/>
        <i val="0"/>
        <color theme="9" tint="-0.24994659260841701"/>
      </font>
    </dxf>
    <dxf>
      <font>
        <b/>
        <i val="0"/>
        <color rgb="FF00B050"/>
      </font>
    </dxf>
    <dxf>
      <font>
        <b/>
        <i val="0"/>
        <color rgb="FF00B05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colors>
    <mruColors>
      <color rgb="FFFF9900"/>
      <color rgb="FFFFFF99"/>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850F-4068-BB33-2C4DD60E7FA6}"/>
            </c:ext>
          </c:extLst>
        </c:ser>
        <c:ser>
          <c:idx val="3"/>
          <c:order val="1"/>
          <c:tx>
            <c:v>Column</c:v>
          </c:tx>
          <c:spPr>
            <a:ln w="19050">
              <a:solidFill>
                <a:srgbClr val="000000"/>
              </a:solidFill>
            </a:ln>
          </c:spPr>
          <c:marker>
            <c:symbol val="none"/>
          </c:marker>
          <c:xVal>
            <c:numRef>
              <c:f>'PILECAP WKST'!$G$88:$G$92</c:f>
              <c:numCache>
                <c:formatCode>General</c:formatCode>
                <c:ptCount val="5"/>
                <c:pt idx="0">
                  <c:v>-0.91666666666666663</c:v>
                </c:pt>
                <c:pt idx="1">
                  <c:v>-0.91666666666666663</c:v>
                </c:pt>
                <c:pt idx="2">
                  <c:v>0.91666666666666663</c:v>
                </c:pt>
                <c:pt idx="3">
                  <c:v>0.91666666666666663</c:v>
                </c:pt>
                <c:pt idx="4">
                  <c:v>-0.91666666666666663</c:v>
                </c:pt>
              </c:numCache>
            </c:numRef>
          </c:xVal>
          <c:yVal>
            <c:numRef>
              <c:f>'PILECAP WKST'!$H$88:$H$92</c:f>
              <c:numCache>
                <c:formatCode>General</c:formatCode>
                <c:ptCount val="5"/>
                <c:pt idx="0">
                  <c:v>-0.91666666666666663</c:v>
                </c:pt>
                <c:pt idx="1">
                  <c:v>0.91666666666666663</c:v>
                </c:pt>
                <c:pt idx="2">
                  <c:v>0.91666666666666663</c:v>
                </c:pt>
                <c:pt idx="3">
                  <c:v>-0.91666666666666663</c:v>
                </c:pt>
                <c:pt idx="4">
                  <c:v>-0.91666666666666663</c:v>
                </c:pt>
              </c:numCache>
            </c:numRef>
          </c:yVal>
          <c:smooth val="0"/>
          <c:extLst xmlns:c16r2="http://schemas.microsoft.com/office/drawing/2015/06/chart">
            <c:ext xmlns:c16="http://schemas.microsoft.com/office/drawing/2014/chart" uri="{C3380CC4-5D6E-409C-BE32-E72D297353CC}">
              <c16:uniqueId val="{00000001-850F-4068-BB33-2C4DD60E7FA6}"/>
            </c:ext>
          </c:extLst>
        </c:ser>
        <c:ser>
          <c:idx val="0"/>
          <c:order val="2"/>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2-850F-4068-BB33-2C4DD60E7FA6}"/>
            </c:ext>
          </c:extLst>
        </c:ser>
        <c:ser>
          <c:idx val="4"/>
          <c:order val="3"/>
          <c:tx>
            <c:strRef>
              <c:f>'PILECAP WKST'!$F$77</c:f>
              <c:strCache>
                <c:ptCount val="1"/>
                <c:pt idx="0">
                  <c:v>d/2 from Column Face</c:v>
                </c:pt>
              </c:strCache>
            </c:strRef>
          </c:tx>
          <c:spPr>
            <a:ln w="15875">
              <a:solidFill>
                <a:schemeClr val="tx1"/>
              </a:solidFill>
              <a:prstDash val="dash"/>
            </a:ln>
          </c:spPr>
          <c:marker>
            <c:symbol val="none"/>
          </c:marker>
          <c:xVal>
            <c:numRef>
              <c:f>'PILECAP WKST'!$G$79:$G$83</c:f>
              <c:numCache>
                <c:formatCode>General</c:formatCode>
                <c:ptCount val="5"/>
                <c:pt idx="0">
                  <c:v>-2.9166666666666665</c:v>
                </c:pt>
                <c:pt idx="1">
                  <c:v>-2.9166666666666665</c:v>
                </c:pt>
                <c:pt idx="2">
                  <c:v>2.9166666666666665</c:v>
                </c:pt>
                <c:pt idx="3">
                  <c:v>2.9166666666666665</c:v>
                </c:pt>
                <c:pt idx="4">
                  <c:v>-2.9166666666666665</c:v>
                </c:pt>
              </c:numCache>
            </c:numRef>
          </c:xVal>
          <c:yVal>
            <c:numRef>
              <c:f>'PILECAP WKST'!$H$79:$H$83</c:f>
              <c:numCache>
                <c:formatCode>General</c:formatCode>
                <c:ptCount val="5"/>
                <c:pt idx="0">
                  <c:v>-2.9166666666666665</c:v>
                </c:pt>
                <c:pt idx="1">
                  <c:v>2.9166666666666665</c:v>
                </c:pt>
                <c:pt idx="2">
                  <c:v>2.9166666666666665</c:v>
                </c:pt>
                <c:pt idx="3">
                  <c:v>-2.9166666666666665</c:v>
                </c:pt>
                <c:pt idx="4">
                  <c:v>-2.9166666666666665</c:v>
                </c:pt>
              </c:numCache>
            </c:numRef>
          </c:yVal>
          <c:smooth val="0"/>
          <c:extLst xmlns:c16r2="http://schemas.microsoft.com/office/drawing/2015/06/chart">
            <c:ext xmlns:c16="http://schemas.microsoft.com/office/drawing/2014/chart" uri="{C3380CC4-5D6E-409C-BE32-E72D297353CC}">
              <c16:uniqueId val="{00000003-850F-4068-BB33-2C4DD60E7FA6}"/>
            </c:ext>
          </c:extLst>
        </c:ser>
        <c:ser>
          <c:idx val="13"/>
          <c:order val="4"/>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4-850F-4068-BB33-2C4DD60E7FA6}"/>
            </c:ext>
          </c:extLst>
        </c:ser>
        <c:dLbls>
          <c:showLegendKey val="0"/>
          <c:showVal val="0"/>
          <c:showCatName val="0"/>
          <c:showSerName val="0"/>
          <c:showPercent val="0"/>
          <c:showBubbleSize val="0"/>
        </c:dLbls>
        <c:axId val="641869168"/>
        <c:axId val="638083944"/>
      </c:scatterChart>
      <c:valAx>
        <c:axId val="641869168"/>
        <c:scaling>
          <c:orientation val="minMax"/>
        </c:scaling>
        <c:delete val="1"/>
        <c:axPos val="b"/>
        <c:numFmt formatCode="0" sourceLinked="0"/>
        <c:majorTickMark val="out"/>
        <c:minorTickMark val="none"/>
        <c:tickLblPos val="nextTo"/>
        <c:crossAx val="638083944"/>
        <c:crosses val="autoZero"/>
        <c:crossBetween val="midCat"/>
      </c:valAx>
      <c:valAx>
        <c:axId val="638083944"/>
        <c:scaling>
          <c:orientation val="minMax"/>
        </c:scaling>
        <c:delete val="1"/>
        <c:axPos val="l"/>
        <c:numFmt formatCode="0" sourceLinked="0"/>
        <c:majorTickMark val="out"/>
        <c:minorTickMark val="none"/>
        <c:tickLblPos val="nextTo"/>
        <c:crossAx val="641869168"/>
        <c:crosses val="autoZero"/>
        <c:crossBetween val="midCat"/>
      </c:valAx>
      <c:spPr>
        <a:solidFill>
          <a:srgbClr val="FFFFFF"/>
        </a:solidFill>
        <a:ln w="12700">
          <a:noFill/>
          <a:prstDash val="solid"/>
        </a:ln>
      </c:spPr>
    </c:plotArea>
    <c:legend>
      <c:legendPos val="r"/>
      <c:legendEntry>
        <c:idx val="4"/>
        <c:delete val="1"/>
      </c:legendEntry>
      <c:layout>
        <c:manualLayout>
          <c:xMode val="edge"/>
          <c:yMode val="edge"/>
          <c:x val="0.66753428549928062"/>
          <c:y val="0.31682840425661168"/>
          <c:w val="0.33246571450071943"/>
          <c:h val="0.45672034005682655"/>
        </c:manualLayout>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AF73-423C-A9D3-57D3B12C44F8}"/>
            </c:ext>
          </c:extLst>
        </c:ser>
        <c:ser>
          <c:idx val="0"/>
          <c:order val="1"/>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1-AF73-423C-A9D3-57D3B12C44F8}"/>
            </c:ext>
          </c:extLst>
        </c:ser>
        <c:ser>
          <c:idx val="8"/>
          <c:order val="2"/>
          <c:tx>
            <c:strRef>
              <c:f>'PILECAP WKST'!$J$100</c:f>
              <c:strCache>
                <c:ptCount val="1"/>
                <c:pt idx="0">
                  <c:v>X Rebar Representative</c:v>
                </c:pt>
              </c:strCache>
            </c:strRef>
          </c:tx>
          <c:spPr>
            <a:ln w="22225">
              <a:solidFill>
                <a:schemeClr val="tx1"/>
              </a:solidFill>
              <a:headEnd type="oval"/>
              <a:tailEnd type="oval"/>
            </a:ln>
          </c:spPr>
          <c:marker>
            <c:symbol val="none"/>
          </c:marker>
          <c:xVal>
            <c:numRef>
              <c:f>'PILECAP WKST'!$K$102:$K$103</c:f>
              <c:numCache>
                <c:formatCode>General</c:formatCode>
                <c:ptCount val="2"/>
                <c:pt idx="0">
                  <c:v>-5.5</c:v>
                </c:pt>
                <c:pt idx="1">
                  <c:v>5.5</c:v>
                </c:pt>
              </c:numCache>
            </c:numRef>
          </c:xVal>
          <c:yVal>
            <c:numRef>
              <c:f>'PILECAP WKST'!$L$102:$L$103</c:f>
              <c:numCache>
                <c:formatCode>General</c:formatCode>
                <c:ptCount val="2"/>
                <c:pt idx="0">
                  <c:v>1.5</c:v>
                </c:pt>
                <c:pt idx="1">
                  <c:v>1.5</c:v>
                </c:pt>
              </c:numCache>
            </c:numRef>
          </c:yVal>
          <c:smooth val="0"/>
          <c:extLst xmlns:c16r2="http://schemas.microsoft.com/office/drawing/2015/06/chart">
            <c:ext xmlns:c16="http://schemas.microsoft.com/office/drawing/2014/chart" uri="{C3380CC4-5D6E-409C-BE32-E72D297353CC}">
              <c16:uniqueId val="{00000002-AF73-423C-A9D3-57D3B12C44F8}"/>
            </c:ext>
          </c:extLst>
        </c:ser>
        <c:ser>
          <c:idx val="12"/>
          <c:order val="3"/>
          <c:tx>
            <c:v>Column Location</c:v>
          </c:tx>
          <c:spPr>
            <a:ln w="28575">
              <a:noFill/>
            </a:ln>
          </c:spPr>
          <c:marker>
            <c:symbol val="circle"/>
            <c:size val="7"/>
            <c:spPr>
              <a:noFill/>
              <a:ln>
                <a:solidFill>
                  <a:sysClr val="windowText" lastClr="000000"/>
                </a:solidFill>
              </a:ln>
            </c:spPr>
          </c:marker>
          <c:xVal>
            <c:numRef>
              <c:f>'DESIGN CRIT'!$B$43</c:f>
              <c:numCache>
                <c:formatCode>General</c:formatCode>
                <c:ptCount val="1"/>
                <c:pt idx="0">
                  <c:v>0</c:v>
                </c:pt>
              </c:numCache>
            </c:numRef>
          </c:xVal>
          <c:yVal>
            <c:numRef>
              <c:f>'DESIGN CRIT'!$C$43</c:f>
              <c:numCache>
                <c:formatCode>General</c:formatCode>
                <c:ptCount val="1"/>
                <c:pt idx="0">
                  <c:v>0</c:v>
                </c:pt>
              </c:numCache>
            </c:numRef>
          </c:yVal>
          <c:smooth val="0"/>
          <c:extLst xmlns:c16r2="http://schemas.microsoft.com/office/drawing/2015/06/chart">
            <c:ext xmlns:c16="http://schemas.microsoft.com/office/drawing/2014/chart" uri="{C3380CC4-5D6E-409C-BE32-E72D297353CC}">
              <c16:uniqueId val="{00000003-AF73-423C-A9D3-57D3B12C44F8}"/>
            </c:ext>
          </c:extLst>
        </c:ser>
        <c:ser>
          <c:idx val="13"/>
          <c:order val="4"/>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4-AF73-423C-A9D3-57D3B12C44F8}"/>
            </c:ext>
          </c:extLst>
        </c:ser>
        <c:dLbls>
          <c:showLegendKey val="0"/>
          <c:showVal val="0"/>
          <c:showCatName val="0"/>
          <c:showSerName val="0"/>
          <c:showPercent val="0"/>
          <c:showBubbleSize val="0"/>
        </c:dLbls>
        <c:axId val="638084728"/>
        <c:axId val="638085120"/>
      </c:scatterChart>
      <c:valAx>
        <c:axId val="638084728"/>
        <c:scaling>
          <c:orientation val="minMax"/>
        </c:scaling>
        <c:delete val="1"/>
        <c:axPos val="b"/>
        <c:numFmt formatCode="0" sourceLinked="0"/>
        <c:majorTickMark val="out"/>
        <c:minorTickMark val="none"/>
        <c:tickLblPos val="nextTo"/>
        <c:crossAx val="638085120"/>
        <c:crosses val="autoZero"/>
        <c:crossBetween val="midCat"/>
      </c:valAx>
      <c:valAx>
        <c:axId val="638085120"/>
        <c:scaling>
          <c:orientation val="minMax"/>
        </c:scaling>
        <c:delete val="1"/>
        <c:axPos val="l"/>
        <c:numFmt formatCode="0" sourceLinked="0"/>
        <c:majorTickMark val="out"/>
        <c:minorTickMark val="none"/>
        <c:tickLblPos val="nextTo"/>
        <c:crossAx val="638084728"/>
        <c:crosses val="autoZero"/>
        <c:crossBetween val="midCat"/>
      </c:valAx>
      <c:spPr>
        <a:solidFill>
          <a:srgbClr val="FFFFFF"/>
        </a:solidFill>
        <a:ln w="12700">
          <a:solidFill>
            <a:srgbClr val="FFFFFF"/>
          </a:solidFill>
          <a:prstDash val="solid"/>
        </a:ln>
      </c:spPr>
    </c:plotArea>
    <c:legend>
      <c:legendPos val="r"/>
      <c:legendEntry>
        <c:idx val="4"/>
        <c:delete val="1"/>
      </c:legendEntry>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F058-462B-BDBC-E0F96041A0F4}"/>
            </c:ext>
          </c:extLst>
        </c:ser>
        <c:ser>
          <c:idx val="0"/>
          <c:order val="1"/>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1-F058-462B-BDBC-E0F96041A0F4}"/>
            </c:ext>
          </c:extLst>
        </c:ser>
        <c:ser>
          <c:idx val="9"/>
          <c:order val="2"/>
          <c:tx>
            <c:strRef>
              <c:f>'PILECAP WKST'!$J$104</c:f>
              <c:strCache>
                <c:ptCount val="1"/>
                <c:pt idx="0">
                  <c:v>Y Rebar Representative</c:v>
                </c:pt>
              </c:strCache>
            </c:strRef>
          </c:tx>
          <c:spPr>
            <a:ln w="22225">
              <a:solidFill>
                <a:schemeClr val="tx1"/>
              </a:solidFill>
              <a:headEnd type="oval"/>
              <a:tailEnd type="oval"/>
            </a:ln>
          </c:spPr>
          <c:marker>
            <c:symbol val="none"/>
          </c:marker>
          <c:xVal>
            <c:numRef>
              <c:f>'PILECAP WKST'!$K$106:$K$107</c:f>
              <c:numCache>
                <c:formatCode>General</c:formatCode>
                <c:ptCount val="2"/>
                <c:pt idx="0">
                  <c:v>3</c:v>
                </c:pt>
                <c:pt idx="1">
                  <c:v>3</c:v>
                </c:pt>
              </c:numCache>
            </c:numRef>
          </c:xVal>
          <c:yVal>
            <c:numRef>
              <c:f>'PILECAP WKST'!$L$106:$L$107</c:f>
              <c:numCache>
                <c:formatCode>General</c:formatCode>
                <c:ptCount val="2"/>
                <c:pt idx="0">
                  <c:v>-4</c:v>
                </c:pt>
                <c:pt idx="1">
                  <c:v>4</c:v>
                </c:pt>
              </c:numCache>
            </c:numRef>
          </c:yVal>
          <c:smooth val="0"/>
          <c:extLst xmlns:c16r2="http://schemas.microsoft.com/office/drawing/2015/06/chart">
            <c:ext xmlns:c16="http://schemas.microsoft.com/office/drawing/2014/chart" uri="{C3380CC4-5D6E-409C-BE32-E72D297353CC}">
              <c16:uniqueId val="{00000002-F058-462B-BDBC-E0F96041A0F4}"/>
            </c:ext>
          </c:extLst>
        </c:ser>
        <c:ser>
          <c:idx val="12"/>
          <c:order val="3"/>
          <c:tx>
            <c:v>Column Location</c:v>
          </c:tx>
          <c:spPr>
            <a:ln w="28575">
              <a:noFill/>
            </a:ln>
          </c:spPr>
          <c:marker>
            <c:symbol val="circle"/>
            <c:size val="7"/>
            <c:spPr>
              <a:noFill/>
              <a:ln>
                <a:solidFill>
                  <a:sysClr val="windowText" lastClr="000000"/>
                </a:solidFill>
              </a:ln>
            </c:spPr>
          </c:marker>
          <c:xVal>
            <c:numRef>
              <c:f>'DESIGN CRIT'!$B$43</c:f>
              <c:numCache>
                <c:formatCode>General</c:formatCode>
                <c:ptCount val="1"/>
                <c:pt idx="0">
                  <c:v>0</c:v>
                </c:pt>
              </c:numCache>
            </c:numRef>
          </c:xVal>
          <c:yVal>
            <c:numRef>
              <c:f>'DESIGN CRIT'!$C$43</c:f>
              <c:numCache>
                <c:formatCode>General</c:formatCode>
                <c:ptCount val="1"/>
                <c:pt idx="0">
                  <c:v>0</c:v>
                </c:pt>
              </c:numCache>
            </c:numRef>
          </c:yVal>
          <c:smooth val="0"/>
          <c:extLst xmlns:c16r2="http://schemas.microsoft.com/office/drawing/2015/06/chart">
            <c:ext xmlns:c16="http://schemas.microsoft.com/office/drawing/2014/chart" uri="{C3380CC4-5D6E-409C-BE32-E72D297353CC}">
              <c16:uniqueId val="{00000003-F058-462B-BDBC-E0F96041A0F4}"/>
            </c:ext>
          </c:extLst>
        </c:ser>
        <c:ser>
          <c:idx val="13"/>
          <c:order val="4"/>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4-F058-462B-BDBC-E0F96041A0F4}"/>
            </c:ext>
          </c:extLst>
        </c:ser>
        <c:dLbls>
          <c:showLegendKey val="0"/>
          <c:showVal val="0"/>
          <c:showCatName val="0"/>
          <c:showSerName val="0"/>
          <c:showPercent val="0"/>
          <c:showBubbleSize val="0"/>
        </c:dLbls>
        <c:axId val="758252024"/>
        <c:axId val="758252416"/>
      </c:scatterChart>
      <c:valAx>
        <c:axId val="758252024"/>
        <c:scaling>
          <c:orientation val="minMax"/>
        </c:scaling>
        <c:delete val="1"/>
        <c:axPos val="b"/>
        <c:numFmt formatCode="0" sourceLinked="0"/>
        <c:majorTickMark val="out"/>
        <c:minorTickMark val="none"/>
        <c:tickLblPos val="nextTo"/>
        <c:crossAx val="758252416"/>
        <c:crosses val="autoZero"/>
        <c:crossBetween val="midCat"/>
      </c:valAx>
      <c:valAx>
        <c:axId val="758252416"/>
        <c:scaling>
          <c:orientation val="minMax"/>
        </c:scaling>
        <c:delete val="1"/>
        <c:axPos val="l"/>
        <c:numFmt formatCode="0" sourceLinked="0"/>
        <c:majorTickMark val="out"/>
        <c:minorTickMark val="none"/>
        <c:tickLblPos val="nextTo"/>
        <c:crossAx val="758252024"/>
        <c:crosses val="autoZero"/>
        <c:crossBetween val="midCat"/>
      </c:valAx>
      <c:spPr>
        <a:solidFill>
          <a:srgbClr val="FFFFFF"/>
        </a:solidFill>
        <a:ln w="12700">
          <a:solidFill>
            <a:srgbClr val="FFFFFF"/>
          </a:solidFill>
          <a:prstDash val="solid"/>
        </a:ln>
      </c:spPr>
    </c:plotArea>
    <c:legend>
      <c:legendPos val="r"/>
      <c:legendEntry>
        <c:idx val="4"/>
        <c:delete val="1"/>
      </c:legendEntry>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FC21-4DEE-845D-CC1E8AF042BC}"/>
            </c:ext>
          </c:extLst>
        </c:ser>
        <c:ser>
          <c:idx val="0"/>
          <c:order val="1"/>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1-FC21-4DEE-845D-CC1E8AF042BC}"/>
            </c:ext>
          </c:extLst>
        </c:ser>
        <c:ser>
          <c:idx val="8"/>
          <c:order val="2"/>
          <c:tx>
            <c:strRef>
              <c:f>'PILECAP WKST'!$J$100</c:f>
              <c:strCache>
                <c:ptCount val="1"/>
                <c:pt idx="0">
                  <c:v>X Rebar Representative</c:v>
                </c:pt>
              </c:strCache>
            </c:strRef>
          </c:tx>
          <c:spPr>
            <a:ln w="22225">
              <a:solidFill>
                <a:schemeClr val="tx1"/>
              </a:solidFill>
              <a:headEnd type="oval"/>
              <a:tailEnd type="oval"/>
            </a:ln>
          </c:spPr>
          <c:marker>
            <c:symbol val="none"/>
          </c:marker>
          <c:xVal>
            <c:numRef>
              <c:f>'PILECAP WKST'!$K$102:$K$103</c:f>
              <c:numCache>
                <c:formatCode>General</c:formatCode>
                <c:ptCount val="2"/>
                <c:pt idx="0">
                  <c:v>-5.5</c:v>
                </c:pt>
                <c:pt idx="1">
                  <c:v>5.5</c:v>
                </c:pt>
              </c:numCache>
            </c:numRef>
          </c:xVal>
          <c:yVal>
            <c:numRef>
              <c:f>'PILECAP WKST'!$L$102:$L$103</c:f>
              <c:numCache>
                <c:formatCode>General</c:formatCode>
                <c:ptCount val="2"/>
                <c:pt idx="0">
                  <c:v>1.5</c:v>
                </c:pt>
                <c:pt idx="1">
                  <c:v>1.5</c:v>
                </c:pt>
              </c:numCache>
            </c:numRef>
          </c:yVal>
          <c:smooth val="0"/>
          <c:extLst xmlns:c16r2="http://schemas.microsoft.com/office/drawing/2015/06/chart">
            <c:ext xmlns:c16="http://schemas.microsoft.com/office/drawing/2014/chart" uri="{C3380CC4-5D6E-409C-BE32-E72D297353CC}">
              <c16:uniqueId val="{00000002-FC21-4DEE-845D-CC1E8AF042BC}"/>
            </c:ext>
          </c:extLst>
        </c:ser>
        <c:ser>
          <c:idx val="9"/>
          <c:order val="3"/>
          <c:tx>
            <c:strRef>
              <c:f>'PILECAP WKST'!$J$104</c:f>
              <c:strCache>
                <c:ptCount val="1"/>
                <c:pt idx="0">
                  <c:v>Y Rebar Representative</c:v>
                </c:pt>
              </c:strCache>
            </c:strRef>
          </c:tx>
          <c:spPr>
            <a:ln w="22225" cmpd="dbl">
              <a:solidFill>
                <a:schemeClr val="tx1"/>
              </a:solidFill>
              <a:headEnd type="oval"/>
              <a:tailEnd type="oval"/>
            </a:ln>
          </c:spPr>
          <c:marker>
            <c:symbol val="none"/>
          </c:marker>
          <c:xVal>
            <c:numRef>
              <c:f>'PILECAP WKST'!$K$106:$K$107</c:f>
              <c:numCache>
                <c:formatCode>General</c:formatCode>
                <c:ptCount val="2"/>
                <c:pt idx="0">
                  <c:v>3</c:v>
                </c:pt>
                <c:pt idx="1">
                  <c:v>3</c:v>
                </c:pt>
              </c:numCache>
            </c:numRef>
          </c:xVal>
          <c:yVal>
            <c:numRef>
              <c:f>'PILECAP WKST'!$L$106:$L$107</c:f>
              <c:numCache>
                <c:formatCode>General</c:formatCode>
                <c:ptCount val="2"/>
                <c:pt idx="0">
                  <c:v>-4</c:v>
                </c:pt>
                <c:pt idx="1">
                  <c:v>4</c:v>
                </c:pt>
              </c:numCache>
            </c:numRef>
          </c:yVal>
          <c:smooth val="0"/>
          <c:extLst xmlns:c16r2="http://schemas.microsoft.com/office/drawing/2015/06/chart">
            <c:ext xmlns:c16="http://schemas.microsoft.com/office/drawing/2014/chart" uri="{C3380CC4-5D6E-409C-BE32-E72D297353CC}">
              <c16:uniqueId val="{00000003-FC21-4DEE-845D-CC1E8AF042BC}"/>
            </c:ext>
          </c:extLst>
        </c:ser>
        <c:ser>
          <c:idx val="10"/>
          <c:order val="4"/>
          <c:tx>
            <c:strRef>
              <c:f>'PILECAP WKST'!$J$109</c:f>
              <c:strCache>
                <c:ptCount val="1"/>
                <c:pt idx="0">
                  <c:v>X Dim</c:v>
                </c:pt>
              </c:strCache>
            </c:strRef>
          </c:tx>
          <c:spPr>
            <a:ln w="28575">
              <a:solidFill>
                <a:schemeClr val="tx1"/>
              </a:solidFill>
              <a:headEnd type="arrow"/>
              <a:tailEnd type="arrow"/>
            </a:ln>
          </c:spPr>
          <c:marker>
            <c:symbol val="none"/>
          </c:marker>
          <c:dPt>
            <c:idx val="1"/>
            <c:bubble3D val="0"/>
            <c:spPr>
              <a:ln w="15875">
                <a:solidFill>
                  <a:schemeClr val="tx1"/>
                </a:solidFill>
                <a:headEnd type="arrow"/>
                <a:tailEnd type="arrow"/>
              </a:ln>
            </c:spPr>
            <c:extLst xmlns:c16r2="http://schemas.microsoft.com/office/drawing/2015/06/chart">
              <c:ext xmlns:c16="http://schemas.microsoft.com/office/drawing/2014/chart" uri="{C3380CC4-5D6E-409C-BE32-E72D297353CC}">
                <c16:uniqueId val="{00000005-FC21-4DEE-845D-CC1E8AF042BC}"/>
              </c:ext>
            </c:extLst>
          </c:dPt>
          <c:xVal>
            <c:numRef>
              <c:f>'PILECAP WKST'!$K$111:$K$112</c:f>
              <c:numCache>
                <c:formatCode>General</c:formatCode>
                <c:ptCount val="2"/>
                <c:pt idx="0">
                  <c:v>-5.75</c:v>
                </c:pt>
                <c:pt idx="1">
                  <c:v>5.75</c:v>
                </c:pt>
              </c:numCache>
            </c:numRef>
          </c:xVal>
          <c:yVal>
            <c:numRef>
              <c:f>'PILECAP WKST'!$L$111:$L$112</c:f>
              <c:numCache>
                <c:formatCode>General</c:formatCode>
                <c:ptCount val="2"/>
                <c:pt idx="0">
                  <c:v>-4.6750000000000007</c:v>
                </c:pt>
                <c:pt idx="1">
                  <c:v>-4.6750000000000007</c:v>
                </c:pt>
              </c:numCache>
            </c:numRef>
          </c:yVal>
          <c:smooth val="0"/>
          <c:extLst xmlns:c16r2="http://schemas.microsoft.com/office/drawing/2015/06/chart">
            <c:ext xmlns:c16="http://schemas.microsoft.com/office/drawing/2014/chart" uri="{C3380CC4-5D6E-409C-BE32-E72D297353CC}">
              <c16:uniqueId val="{00000006-FC21-4DEE-845D-CC1E8AF042BC}"/>
            </c:ext>
          </c:extLst>
        </c:ser>
        <c:ser>
          <c:idx val="11"/>
          <c:order val="5"/>
          <c:tx>
            <c:strRef>
              <c:f>'PILECAP WKST'!$J$114</c:f>
              <c:strCache>
                <c:ptCount val="1"/>
                <c:pt idx="0">
                  <c:v>Y Dim</c:v>
                </c:pt>
              </c:strCache>
            </c:strRef>
          </c:tx>
          <c:spPr>
            <a:ln w="15875">
              <a:solidFill>
                <a:schemeClr val="tx1"/>
              </a:solidFill>
              <a:headEnd type="arrow"/>
              <a:tailEnd type="arrow"/>
            </a:ln>
          </c:spPr>
          <c:marker>
            <c:symbol val="none"/>
          </c:marker>
          <c:xVal>
            <c:numRef>
              <c:f>'PILECAP WKST'!$K$116:$K$117</c:f>
              <c:numCache>
                <c:formatCode>General</c:formatCode>
                <c:ptCount val="2"/>
                <c:pt idx="0">
                  <c:v>-6.3250000000000002</c:v>
                </c:pt>
                <c:pt idx="1">
                  <c:v>-6.3250000000000002</c:v>
                </c:pt>
              </c:numCache>
            </c:numRef>
          </c:xVal>
          <c:yVal>
            <c:numRef>
              <c:f>'PILECAP WKST'!$L$116:$L$117</c:f>
              <c:numCache>
                <c:formatCode>General</c:formatCode>
                <c:ptCount val="2"/>
                <c:pt idx="0">
                  <c:v>-4.25</c:v>
                </c:pt>
                <c:pt idx="1">
                  <c:v>4.25</c:v>
                </c:pt>
              </c:numCache>
            </c:numRef>
          </c:yVal>
          <c:smooth val="0"/>
          <c:extLst xmlns:c16r2="http://schemas.microsoft.com/office/drawing/2015/06/chart">
            <c:ext xmlns:c16="http://schemas.microsoft.com/office/drawing/2014/chart" uri="{C3380CC4-5D6E-409C-BE32-E72D297353CC}">
              <c16:uniqueId val="{00000007-FC21-4DEE-845D-CC1E8AF042BC}"/>
            </c:ext>
          </c:extLst>
        </c:ser>
        <c:ser>
          <c:idx val="12"/>
          <c:order val="6"/>
          <c:tx>
            <c:v>Column Location</c:v>
          </c:tx>
          <c:spPr>
            <a:ln w="28575">
              <a:noFill/>
            </a:ln>
          </c:spPr>
          <c:marker>
            <c:symbol val="circle"/>
            <c:size val="7"/>
            <c:spPr>
              <a:noFill/>
              <a:ln>
                <a:solidFill>
                  <a:sysClr val="windowText" lastClr="000000"/>
                </a:solidFill>
              </a:ln>
            </c:spPr>
          </c:marker>
          <c:xVal>
            <c:numRef>
              <c:f>'DESIGN CRIT'!$B$43</c:f>
              <c:numCache>
                <c:formatCode>General</c:formatCode>
                <c:ptCount val="1"/>
                <c:pt idx="0">
                  <c:v>0</c:v>
                </c:pt>
              </c:numCache>
            </c:numRef>
          </c:xVal>
          <c:yVal>
            <c:numRef>
              <c:f>'DESIGN CRIT'!$C$43</c:f>
              <c:numCache>
                <c:formatCode>General</c:formatCode>
                <c:ptCount val="1"/>
                <c:pt idx="0">
                  <c:v>0</c:v>
                </c:pt>
              </c:numCache>
            </c:numRef>
          </c:yVal>
          <c:smooth val="0"/>
          <c:extLst xmlns:c16r2="http://schemas.microsoft.com/office/drawing/2015/06/chart">
            <c:ext xmlns:c16="http://schemas.microsoft.com/office/drawing/2014/chart" uri="{C3380CC4-5D6E-409C-BE32-E72D297353CC}">
              <c16:uniqueId val="{00000008-FC21-4DEE-845D-CC1E8AF042BC}"/>
            </c:ext>
          </c:extLst>
        </c:ser>
        <c:ser>
          <c:idx val="13"/>
          <c:order val="7"/>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9-FC21-4DEE-845D-CC1E8AF042BC}"/>
            </c:ext>
          </c:extLst>
        </c:ser>
        <c:dLbls>
          <c:showLegendKey val="0"/>
          <c:showVal val="0"/>
          <c:showCatName val="0"/>
          <c:showSerName val="0"/>
          <c:showPercent val="0"/>
          <c:showBubbleSize val="0"/>
        </c:dLbls>
        <c:axId val="758253200"/>
        <c:axId val="758253592"/>
      </c:scatterChart>
      <c:valAx>
        <c:axId val="758253200"/>
        <c:scaling>
          <c:orientation val="minMax"/>
        </c:scaling>
        <c:delete val="1"/>
        <c:axPos val="b"/>
        <c:numFmt formatCode="0" sourceLinked="0"/>
        <c:majorTickMark val="out"/>
        <c:minorTickMark val="none"/>
        <c:tickLblPos val="nextTo"/>
        <c:crossAx val="758253592"/>
        <c:crosses val="autoZero"/>
        <c:crossBetween val="midCat"/>
      </c:valAx>
      <c:valAx>
        <c:axId val="758253592"/>
        <c:scaling>
          <c:orientation val="minMax"/>
        </c:scaling>
        <c:delete val="1"/>
        <c:axPos val="l"/>
        <c:numFmt formatCode="0" sourceLinked="0"/>
        <c:majorTickMark val="out"/>
        <c:minorTickMark val="none"/>
        <c:tickLblPos val="nextTo"/>
        <c:crossAx val="758253200"/>
        <c:crosses val="autoZero"/>
        <c:crossBetween val="midCat"/>
      </c:valAx>
      <c:spPr>
        <a:solidFill>
          <a:srgbClr val="FFFFFF"/>
        </a:solidFill>
        <a:ln w="12700">
          <a:solidFill>
            <a:srgbClr val="FFFFFF"/>
          </a:solidFill>
          <a:prstDash val="solid"/>
        </a:ln>
      </c:spPr>
    </c:plotArea>
    <c:legend>
      <c:legendPos val="r"/>
      <c:legendEntry>
        <c:idx val="4"/>
        <c:delete val="1"/>
      </c:legendEntry>
      <c:legendEntry>
        <c:idx val="5"/>
        <c:delete val="1"/>
      </c:legendEntry>
      <c:legendEntry>
        <c:idx val="7"/>
        <c:delete val="1"/>
      </c:legendEntry>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CA10-40AC-80DF-8F0F5DC20014}"/>
            </c:ext>
          </c:extLst>
        </c:ser>
        <c:ser>
          <c:idx val="3"/>
          <c:order val="1"/>
          <c:tx>
            <c:v>Column</c:v>
          </c:tx>
          <c:spPr>
            <a:ln w="19050">
              <a:solidFill>
                <a:srgbClr val="000000"/>
              </a:solidFill>
            </a:ln>
          </c:spPr>
          <c:marker>
            <c:symbol val="none"/>
          </c:marker>
          <c:xVal>
            <c:numRef>
              <c:f>'PILECAP WKST'!$G$88:$G$92</c:f>
              <c:numCache>
                <c:formatCode>General</c:formatCode>
                <c:ptCount val="5"/>
                <c:pt idx="0">
                  <c:v>-0.91666666666666663</c:v>
                </c:pt>
                <c:pt idx="1">
                  <c:v>-0.91666666666666663</c:v>
                </c:pt>
                <c:pt idx="2">
                  <c:v>0.91666666666666663</c:v>
                </c:pt>
                <c:pt idx="3">
                  <c:v>0.91666666666666663</c:v>
                </c:pt>
                <c:pt idx="4">
                  <c:v>-0.91666666666666663</c:v>
                </c:pt>
              </c:numCache>
            </c:numRef>
          </c:xVal>
          <c:yVal>
            <c:numRef>
              <c:f>'PILECAP WKST'!$H$88:$H$92</c:f>
              <c:numCache>
                <c:formatCode>General</c:formatCode>
                <c:ptCount val="5"/>
                <c:pt idx="0">
                  <c:v>-0.91666666666666663</c:v>
                </c:pt>
                <c:pt idx="1">
                  <c:v>0.91666666666666663</c:v>
                </c:pt>
                <c:pt idx="2">
                  <c:v>0.91666666666666663</c:v>
                </c:pt>
                <c:pt idx="3">
                  <c:v>-0.91666666666666663</c:v>
                </c:pt>
                <c:pt idx="4">
                  <c:v>-0.91666666666666663</c:v>
                </c:pt>
              </c:numCache>
            </c:numRef>
          </c:yVal>
          <c:smooth val="0"/>
          <c:extLst xmlns:c16r2="http://schemas.microsoft.com/office/drawing/2015/06/chart">
            <c:ext xmlns:c16="http://schemas.microsoft.com/office/drawing/2014/chart" uri="{C3380CC4-5D6E-409C-BE32-E72D297353CC}">
              <c16:uniqueId val="{00000001-CA10-40AC-80DF-8F0F5DC20014}"/>
            </c:ext>
          </c:extLst>
        </c:ser>
        <c:ser>
          <c:idx val="0"/>
          <c:order val="2"/>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2-CA10-40AC-80DF-8F0F5DC20014}"/>
            </c:ext>
          </c:extLst>
        </c:ser>
        <c:ser>
          <c:idx val="6"/>
          <c:order val="3"/>
          <c:tx>
            <c:strRef>
              <c:f>'PILECAP WKST'!$J$83</c:f>
              <c:strCache>
                <c:ptCount val="1"/>
                <c:pt idx="0">
                  <c:v>d from Column Face in Y</c:v>
                </c:pt>
              </c:strCache>
            </c:strRef>
          </c:tx>
          <c:spPr>
            <a:ln w="15875">
              <a:solidFill>
                <a:schemeClr val="tx1"/>
              </a:solidFill>
              <a:prstDash val="sysDash"/>
            </a:ln>
          </c:spPr>
          <c:marker>
            <c:symbol val="none"/>
          </c:marker>
          <c:xVal>
            <c:numRef>
              <c:f>'PILECAP WKST'!$K$85:$K$86</c:f>
              <c:numCache>
                <c:formatCode>General</c:formatCode>
                <c:ptCount val="2"/>
                <c:pt idx="0">
                  <c:v>-5.75</c:v>
                </c:pt>
                <c:pt idx="1">
                  <c:v>5.75</c:v>
                </c:pt>
              </c:numCache>
            </c:numRef>
          </c:xVal>
          <c:yVal>
            <c:numRef>
              <c:f>'PILECAP WKST'!$L$85:$L$86</c:f>
              <c:numCache>
                <c:formatCode>General</c:formatCode>
                <c:ptCount val="2"/>
                <c:pt idx="0">
                  <c:v>4.916666666666667</c:v>
                </c:pt>
                <c:pt idx="1">
                  <c:v>4.916666666666667</c:v>
                </c:pt>
              </c:numCache>
            </c:numRef>
          </c:yVal>
          <c:smooth val="0"/>
          <c:extLst xmlns:c16r2="http://schemas.microsoft.com/office/drawing/2015/06/chart">
            <c:ext xmlns:c16="http://schemas.microsoft.com/office/drawing/2014/chart" uri="{C3380CC4-5D6E-409C-BE32-E72D297353CC}">
              <c16:uniqueId val="{00000003-CA10-40AC-80DF-8F0F5DC20014}"/>
            </c:ext>
          </c:extLst>
        </c:ser>
        <c:ser>
          <c:idx val="7"/>
          <c:order val="4"/>
          <c:tx>
            <c:strRef>
              <c:f>'PILECAP WKST'!$J$95</c:f>
              <c:strCache>
                <c:ptCount val="1"/>
                <c:pt idx="0">
                  <c:v>Column Face in Y</c:v>
                </c:pt>
              </c:strCache>
            </c:strRef>
          </c:tx>
          <c:spPr>
            <a:ln w="15875">
              <a:solidFill>
                <a:srgbClr val="000000"/>
              </a:solidFill>
              <a:prstDash val="lgDash"/>
            </a:ln>
          </c:spPr>
          <c:marker>
            <c:symbol val="none"/>
          </c:marker>
          <c:xVal>
            <c:numRef>
              <c:f>'PILECAP WKST'!$K$97:$K$98</c:f>
              <c:numCache>
                <c:formatCode>General</c:formatCode>
                <c:ptCount val="2"/>
                <c:pt idx="0">
                  <c:v>-5.75</c:v>
                </c:pt>
                <c:pt idx="1">
                  <c:v>5.75</c:v>
                </c:pt>
              </c:numCache>
            </c:numRef>
          </c:xVal>
          <c:yVal>
            <c:numRef>
              <c:f>'PILECAP WKST'!$L$97:$L$98</c:f>
              <c:numCache>
                <c:formatCode>General</c:formatCode>
                <c:ptCount val="2"/>
                <c:pt idx="0">
                  <c:v>0.91666666666666663</c:v>
                </c:pt>
                <c:pt idx="1">
                  <c:v>0.91666666666666663</c:v>
                </c:pt>
              </c:numCache>
            </c:numRef>
          </c:yVal>
          <c:smooth val="0"/>
          <c:extLst xmlns:c16r2="http://schemas.microsoft.com/office/drawing/2015/06/chart">
            <c:ext xmlns:c16="http://schemas.microsoft.com/office/drawing/2014/chart" uri="{C3380CC4-5D6E-409C-BE32-E72D297353CC}">
              <c16:uniqueId val="{00000004-CA10-40AC-80DF-8F0F5DC20014}"/>
            </c:ext>
          </c:extLst>
        </c:ser>
        <c:ser>
          <c:idx val="13"/>
          <c:order val="5"/>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5-CA10-40AC-80DF-8F0F5DC20014}"/>
            </c:ext>
          </c:extLst>
        </c:ser>
        <c:dLbls>
          <c:showLegendKey val="0"/>
          <c:showVal val="0"/>
          <c:showCatName val="0"/>
          <c:showSerName val="0"/>
          <c:showPercent val="0"/>
          <c:showBubbleSize val="0"/>
        </c:dLbls>
        <c:axId val="758254376"/>
        <c:axId val="758254768"/>
      </c:scatterChart>
      <c:valAx>
        <c:axId val="758254376"/>
        <c:scaling>
          <c:orientation val="minMax"/>
        </c:scaling>
        <c:delete val="1"/>
        <c:axPos val="b"/>
        <c:numFmt formatCode="0" sourceLinked="0"/>
        <c:majorTickMark val="out"/>
        <c:minorTickMark val="none"/>
        <c:tickLblPos val="nextTo"/>
        <c:crossAx val="758254768"/>
        <c:crosses val="autoZero"/>
        <c:crossBetween val="midCat"/>
      </c:valAx>
      <c:valAx>
        <c:axId val="758254768"/>
        <c:scaling>
          <c:orientation val="minMax"/>
        </c:scaling>
        <c:delete val="1"/>
        <c:axPos val="l"/>
        <c:numFmt formatCode="0" sourceLinked="0"/>
        <c:majorTickMark val="out"/>
        <c:minorTickMark val="none"/>
        <c:tickLblPos val="nextTo"/>
        <c:crossAx val="758254376"/>
        <c:crosses val="autoZero"/>
        <c:crossBetween val="midCat"/>
      </c:valAx>
      <c:spPr>
        <a:solidFill>
          <a:srgbClr val="FFFFFF"/>
        </a:solidFill>
        <a:ln w="12700">
          <a:solidFill>
            <a:srgbClr val="FFFFFF"/>
          </a:solidFill>
          <a:prstDash val="solid"/>
        </a:ln>
      </c:spPr>
    </c:plotArea>
    <c:legend>
      <c:legendPos val="r"/>
      <c:legendEntry>
        <c:idx val="5"/>
        <c:delete val="1"/>
      </c:legendEntry>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3190-4A19-805F-D306B2A03282}"/>
            </c:ext>
          </c:extLst>
        </c:ser>
        <c:ser>
          <c:idx val="3"/>
          <c:order val="1"/>
          <c:tx>
            <c:v>Column</c:v>
          </c:tx>
          <c:spPr>
            <a:ln w="19050">
              <a:solidFill>
                <a:srgbClr val="000000"/>
              </a:solidFill>
            </a:ln>
          </c:spPr>
          <c:marker>
            <c:symbol val="none"/>
          </c:marker>
          <c:xVal>
            <c:numRef>
              <c:f>'PILECAP WKST'!$G$88:$G$92</c:f>
              <c:numCache>
                <c:formatCode>General</c:formatCode>
                <c:ptCount val="5"/>
                <c:pt idx="0">
                  <c:v>-0.91666666666666663</c:v>
                </c:pt>
                <c:pt idx="1">
                  <c:v>-0.91666666666666663</c:v>
                </c:pt>
                <c:pt idx="2">
                  <c:v>0.91666666666666663</c:v>
                </c:pt>
                <c:pt idx="3">
                  <c:v>0.91666666666666663</c:v>
                </c:pt>
                <c:pt idx="4">
                  <c:v>-0.91666666666666663</c:v>
                </c:pt>
              </c:numCache>
            </c:numRef>
          </c:xVal>
          <c:yVal>
            <c:numRef>
              <c:f>'PILECAP WKST'!$H$88:$H$92</c:f>
              <c:numCache>
                <c:formatCode>General</c:formatCode>
                <c:ptCount val="5"/>
                <c:pt idx="0">
                  <c:v>-0.91666666666666663</c:v>
                </c:pt>
                <c:pt idx="1">
                  <c:v>0.91666666666666663</c:v>
                </c:pt>
                <c:pt idx="2">
                  <c:v>0.91666666666666663</c:v>
                </c:pt>
                <c:pt idx="3">
                  <c:v>-0.91666666666666663</c:v>
                </c:pt>
                <c:pt idx="4">
                  <c:v>-0.91666666666666663</c:v>
                </c:pt>
              </c:numCache>
            </c:numRef>
          </c:yVal>
          <c:smooth val="0"/>
          <c:extLst xmlns:c16r2="http://schemas.microsoft.com/office/drawing/2015/06/chart">
            <c:ext xmlns:c16="http://schemas.microsoft.com/office/drawing/2014/chart" uri="{C3380CC4-5D6E-409C-BE32-E72D297353CC}">
              <c16:uniqueId val="{00000001-3190-4A19-805F-D306B2A03282}"/>
            </c:ext>
          </c:extLst>
        </c:ser>
        <c:ser>
          <c:idx val="0"/>
          <c:order val="2"/>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2-3190-4A19-805F-D306B2A03282}"/>
            </c:ext>
          </c:extLst>
        </c:ser>
        <c:ser>
          <c:idx val="5"/>
          <c:order val="3"/>
          <c:tx>
            <c:strRef>
              <c:f>'PILECAP WKST'!$J$77</c:f>
              <c:strCache>
                <c:ptCount val="1"/>
                <c:pt idx="0">
                  <c:v>d from Column Face in X</c:v>
                </c:pt>
              </c:strCache>
            </c:strRef>
          </c:tx>
          <c:spPr>
            <a:ln w="15875">
              <a:solidFill>
                <a:schemeClr val="tx1"/>
              </a:solidFill>
              <a:prstDash val="sysDash"/>
            </a:ln>
          </c:spPr>
          <c:marker>
            <c:symbol val="none"/>
          </c:marker>
          <c:xVal>
            <c:numRef>
              <c:f>'PILECAP WKST'!$K$79:$K$80</c:f>
              <c:numCache>
                <c:formatCode>General</c:formatCode>
                <c:ptCount val="2"/>
                <c:pt idx="0">
                  <c:v>4.916666666666667</c:v>
                </c:pt>
                <c:pt idx="1">
                  <c:v>4.916666666666667</c:v>
                </c:pt>
              </c:numCache>
            </c:numRef>
          </c:xVal>
          <c:yVal>
            <c:numRef>
              <c:f>'PILECAP WKST'!$L$79:$L$80</c:f>
              <c:numCache>
                <c:formatCode>General</c:formatCode>
                <c:ptCount val="2"/>
                <c:pt idx="0">
                  <c:v>-4.25</c:v>
                </c:pt>
                <c:pt idx="1">
                  <c:v>4.25</c:v>
                </c:pt>
              </c:numCache>
            </c:numRef>
          </c:yVal>
          <c:smooth val="0"/>
          <c:extLst xmlns:c16r2="http://schemas.microsoft.com/office/drawing/2015/06/chart">
            <c:ext xmlns:c16="http://schemas.microsoft.com/office/drawing/2014/chart" uri="{C3380CC4-5D6E-409C-BE32-E72D297353CC}">
              <c16:uniqueId val="{00000003-3190-4A19-805F-D306B2A03282}"/>
            </c:ext>
          </c:extLst>
        </c:ser>
        <c:ser>
          <c:idx val="2"/>
          <c:order val="4"/>
          <c:tx>
            <c:strRef>
              <c:f>'PILECAP WKST'!$J$89</c:f>
              <c:strCache>
                <c:ptCount val="1"/>
                <c:pt idx="0">
                  <c:v>Column Face in X</c:v>
                </c:pt>
              </c:strCache>
            </c:strRef>
          </c:tx>
          <c:spPr>
            <a:ln w="15875">
              <a:solidFill>
                <a:srgbClr val="000000"/>
              </a:solidFill>
              <a:prstDash val="lgDash"/>
            </a:ln>
          </c:spPr>
          <c:marker>
            <c:symbol val="none"/>
          </c:marker>
          <c:xVal>
            <c:numRef>
              <c:f>'PILECAP WKST'!$K$91:$K$92</c:f>
              <c:numCache>
                <c:formatCode>General</c:formatCode>
                <c:ptCount val="2"/>
                <c:pt idx="0">
                  <c:v>0.91666666666666663</c:v>
                </c:pt>
                <c:pt idx="1">
                  <c:v>0.91666666666666663</c:v>
                </c:pt>
              </c:numCache>
            </c:numRef>
          </c:xVal>
          <c:yVal>
            <c:numRef>
              <c:f>'PILECAP WKST'!$L$91:$L$92</c:f>
              <c:numCache>
                <c:formatCode>General</c:formatCode>
                <c:ptCount val="2"/>
                <c:pt idx="0">
                  <c:v>-4.25</c:v>
                </c:pt>
                <c:pt idx="1">
                  <c:v>4.25</c:v>
                </c:pt>
              </c:numCache>
            </c:numRef>
          </c:yVal>
          <c:smooth val="0"/>
          <c:extLst xmlns:c16r2="http://schemas.microsoft.com/office/drawing/2015/06/chart">
            <c:ext xmlns:c16="http://schemas.microsoft.com/office/drawing/2014/chart" uri="{C3380CC4-5D6E-409C-BE32-E72D297353CC}">
              <c16:uniqueId val="{00000004-3190-4A19-805F-D306B2A03282}"/>
            </c:ext>
          </c:extLst>
        </c:ser>
        <c:ser>
          <c:idx val="13"/>
          <c:order val="5"/>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5-3190-4A19-805F-D306B2A03282}"/>
            </c:ext>
          </c:extLst>
        </c:ser>
        <c:dLbls>
          <c:showLegendKey val="0"/>
          <c:showVal val="0"/>
          <c:showCatName val="0"/>
          <c:showSerName val="0"/>
          <c:showPercent val="0"/>
          <c:showBubbleSize val="0"/>
        </c:dLbls>
        <c:axId val="403968024"/>
        <c:axId val="403968416"/>
      </c:scatterChart>
      <c:valAx>
        <c:axId val="403968024"/>
        <c:scaling>
          <c:orientation val="minMax"/>
        </c:scaling>
        <c:delete val="1"/>
        <c:axPos val="b"/>
        <c:numFmt formatCode="0" sourceLinked="0"/>
        <c:majorTickMark val="out"/>
        <c:minorTickMark val="none"/>
        <c:tickLblPos val="nextTo"/>
        <c:crossAx val="403968416"/>
        <c:crosses val="autoZero"/>
        <c:crossBetween val="midCat"/>
      </c:valAx>
      <c:valAx>
        <c:axId val="403968416"/>
        <c:scaling>
          <c:orientation val="minMax"/>
        </c:scaling>
        <c:delete val="1"/>
        <c:axPos val="l"/>
        <c:numFmt formatCode="0" sourceLinked="0"/>
        <c:majorTickMark val="out"/>
        <c:minorTickMark val="none"/>
        <c:tickLblPos val="nextTo"/>
        <c:crossAx val="403968024"/>
        <c:crosses val="autoZero"/>
        <c:crossBetween val="midCat"/>
      </c:valAx>
      <c:spPr>
        <a:solidFill>
          <a:srgbClr val="FFFFFF"/>
        </a:solidFill>
        <a:ln w="12700">
          <a:solidFill>
            <a:srgbClr val="FFFFFF"/>
          </a:solidFill>
          <a:prstDash val="solid"/>
        </a:ln>
      </c:spPr>
    </c:plotArea>
    <c:legend>
      <c:legendPos val="r"/>
      <c:legendEntry>
        <c:idx val="5"/>
        <c:delete val="1"/>
      </c:legendEntry>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x"/>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A10-4960-B955-041CAD530B9B}"/>
            </c:ext>
          </c:extLst>
        </c:ser>
        <c:ser>
          <c:idx val="3"/>
          <c:order val="1"/>
          <c:tx>
            <c:v>Column</c:v>
          </c:tx>
          <c:spPr>
            <a:ln w="19050">
              <a:solidFill>
                <a:srgbClr val="000000"/>
              </a:solidFill>
            </a:ln>
          </c:spPr>
          <c:marker>
            <c:symbol val="none"/>
          </c:marker>
          <c:xVal>
            <c:numRef>
              <c:f>'PILECAP WKST'!$G$88:$G$92</c:f>
              <c:numCache>
                <c:formatCode>General</c:formatCode>
                <c:ptCount val="5"/>
                <c:pt idx="0">
                  <c:v>-0.91666666666666663</c:v>
                </c:pt>
                <c:pt idx="1">
                  <c:v>-0.91666666666666663</c:v>
                </c:pt>
                <c:pt idx="2">
                  <c:v>0.91666666666666663</c:v>
                </c:pt>
                <c:pt idx="3">
                  <c:v>0.91666666666666663</c:v>
                </c:pt>
                <c:pt idx="4">
                  <c:v>-0.91666666666666663</c:v>
                </c:pt>
              </c:numCache>
            </c:numRef>
          </c:xVal>
          <c:yVal>
            <c:numRef>
              <c:f>'PILECAP WKST'!$H$88:$H$92</c:f>
              <c:numCache>
                <c:formatCode>General</c:formatCode>
                <c:ptCount val="5"/>
                <c:pt idx="0">
                  <c:v>-0.91666666666666663</c:v>
                </c:pt>
                <c:pt idx="1">
                  <c:v>0.91666666666666663</c:v>
                </c:pt>
                <c:pt idx="2">
                  <c:v>0.91666666666666663</c:v>
                </c:pt>
                <c:pt idx="3">
                  <c:v>-0.91666666666666663</c:v>
                </c:pt>
                <c:pt idx="4">
                  <c:v>-0.91666666666666663</c:v>
                </c:pt>
              </c:numCache>
            </c:numRef>
          </c:yVal>
          <c:smooth val="0"/>
          <c:extLst xmlns:c16r2="http://schemas.microsoft.com/office/drawing/2015/06/chart">
            <c:ext xmlns:c16="http://schemas.microsoft.com/office/drawing/2014/chart" uri="{C3380CC4-5D6E-409C-BE32-E72D297353CC}">
              <c16:uniqueId val="{00000001-1A10-4960-B955-041CAD530B9B}"/>
            </c:ext>
          </c:extLst>
        </c:ser>
        <c:ser>
          <c:idx val="0"/>
          <c:order val="2"/>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2-1A10-4960-B955-041CAD530B9B}"/>
            </c:ext>
          </c:extLst>
        </c:ser>
        <c:ser>
          <c:idx val="13"/>
          <c:order val="3"/>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3-1A10-4960-B955-041CAD530B9B}"/>
            </c:ext>
          </c:extLst>
        </c:ser>
        <c:dLbls>
          <c:showLegendKey val="0"/>
          <c:showVal val="0"/>
          <c:showCatName val="0"/>
          <c:showSerName val="0"/>
          <c:showPercent val="0"/>
          <c:showBubbleSize val="0"/>
        </c:dLbls>
        <c:axId val="758255552"/>
        <c:axId val="403969200"/>
      </c:scatterChart>
      <c:valAx>
        <c:axId val="758255552"/>
        <c:scaling>
          <c:orientation val="minMax"/>
        </c:scaling>
        <c:delete val="0"/>
        <c:axPos val="b"/>
        <c:numFmt formatCode="0"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en-US"/>
          </a:p>
        </c:txPr>
        <c:crossAx val="403969200"/>
        <c:crosses val="autoZero"/>
        <c:crossBetween val="midCat"/>
      </c:valAx>
      <c:valAx>
        <c:axId val="403969200"/>
        <c:scaling>
          <c:orientation val="minMax"/>
        </c:scaling>
        <c:delete val="0"/>
        <c:axPos val="l"/>
        <c:numFmt formatCode="0"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en-US"/>
          </a:p>
        </c:txPr>
        <c:crossAx val="758255552"/>
        <c:crosses val="autoZero"/>
        <c:crossBetween val="midCat"/>
      </c:valAx>
      <c:spPr>
        <a:solidFill>
          <a:srgbClr val="FFFFFF"/>
        </a:solidFill>
        <a:ln w="12700">
          <a:solidFill>
            <a:srgbClr val="FFFFFF"/>
          </a:solidFill>
          <a:prstDash val="solid"/>
        </a:ln>
      </c:spPr>
    </c:plotArea>
    <c:legend>
      <c:legendPos val="r"/>
      <c:legendEntry>
        <c:idx val="3"/>
        <c:delete val="1"/>
      </c:legendEntry>
      <c:layout>
        <c:manualLayout>
          <c:xMode val="edge"/>
          <c:yMode val="edge"/>
          <c:x val="0.69623743527779114"/>
          <c:y val="0.21097009567056724"/>
          <c:w val="0.27499574034555929"/>
          <c:h val="0.21057955405484077"/>
        </c:manualLayout>
      </c:layout>
      <c:overlay val="0"/>
      <c:txPr>
        <a:bodyPr/>
        <a:lstStyle/>
        <a:p>
          <a:pPr>
            <a:defRPr sz="900"/>
          </a:pPr>
          <a:endParaRPr lang="en-US"/>
        </a:p>
      </c:txPr>
    </c:legend>
    <c:plotVisOnly val="1"/>
    <c:dispBlanksAs val="gap"/>
    <c:showDLblsOverMax val="0"/>
  </c:chart>
  <c:spPr>
    <a:solidFill>
      <a:srgbClr val="FFFFFF"/>
    </a:solidFill>
    <a:ln w="9525">
      <a:solidFill>
        <a:sysClr val="windowText" lastClr="000000"/>
      </a:solid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sng" strike="noStrike" baseline="0">
                <a:solidFill>
                  <a:srgbClr val="000000"/>
                </a:solidFill>
                <a:latin typeface="Arial"/>
                <a:ea typeface="Arial"/>
                <a:cs typeface="Arial"/>
              </a:defRPr>
            </a:pPr>
            <a:r>
              <a:rPr lang="en-US" sz="1000">
                <a:latin typeface="Helvetica" panose="020B0604020202020204" pitchFamily="34" charset="0"/>
                <a:cs typeface="Helvetica" panose="020B0604020202020204" pitchFamily="34" charset="0"/>
              </a:rPr>
              <a:t>PILE CAP PLAN (ft)</a:t>
            </a:r>
          </a:p>
        </c:rich>
      </c:tx>
      <c:layout>
        <c:manualLayout>
          <c:xMode val="edge"/>
          <c:yMode val="edge"/>
          <c:x val="0.25111731049270636"/>
          <c:y val="0"/>
        </c:manualLayout>
      </c:layout>
      <c:overlay val="0"/>
      <c:spPr>
        <a:noFill/>
        <a:ln w="25400">
          <a:noFill/>
        </a:ln>
      </c:spPr>
    </c:title>
    <c:autoTitleDeleted val="0"/>
    <c:plotArea>
      <c:layout>
        <c:manualLayout>
          <c:layoutTarget val="inner"/>
          <c:xMode val="edge"/>
          <c:yMode val="edge"/>
          <c:x val="4.9250608277324949E-2"/>
          <c:y val="0.10311845690809486"/>
          <c:w val="0.67815083693216305"/>
          <c:h val="0.8484836478941904"/>
        </c:manualLayout>
      </c:layout>
      <c:scatterChart>
        <c:scatterStyle val="lineMarker"/>
        <c:varyColors val="0"/>
        <c:ser>
          <c:idx val="1"/>
          <c:order val="0"/>
          <c:tx>
            <c:v>Pile Locations</c:v>
          </c:tx>
          <c:spPr>
            <a:ln w="28575">
              <a:noFill/>
            </a:ln>
          </c:spPr>
          <c:marker>
            <c:symbol val="plus"/>
            <c:size val="10"/>
            <c:spPr>
              <a:noFill/>
              <a:ln>
                <a:solidFill>
                  <a:srgbClr val="000000"/>
                </a:solidFill>
                <a:prstDash val="solid"/>
              </a:ln>
            </c:spPr>
          </c:marker>
          <c:xVal>
            <c:numRef>
              <c:f>'DESIGN CRIT'!$B$49:$B$73</c:f>
              <c:numCache>
                <c:formatCode>0.00</c:formatCode>
                <c:ptCount val="25"/>
                <c:pt idx="0">
                  <c:v>-4.5</c:v>
                </c:pt>
                <c:pt idx="1">
                  <c:v>-1.5</c:v>
                </c:pt>
                <c:pt idx="2">
                  <c:v>1.5</c:v>
                </c:pt>
                <c:pt idx="3">
                  <c:v>4.5</c:v>
                </c:pt>
                <c:pt idx="4">
                  <c:v>-4.5</c:v>
                </c:pt>
                <c:pt idx="5">
                  <c:v>-1.5</c:v>
                </c:pt>
                <c:pt idx="6">
                  <c:v>1.5</c:v>
                </c:pt>
                <c:pt idx="7">
                  <c:v>4.5</c:v>
                </c:pt>
                <c:pt idx="8">
                  <c:v>-4.5</c:v>
                </c:pt>
                <c:pt idx="9">
                  <c:v>-1.5</c:v>
                </c:pt>
                <c:pt idx="10">
                  <c:v>1.5</c:v>
                </c:pt>
                <c:pt idx="11">
                  <c:v>4.5</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'DESIGN CRIT'!$C$49:$C$73</c:f>
              <c:numCache>
                <c:formatCode>0.00</c:formatCode>
                <c:ptCount val="25"/>
                <c:pt idx="0">
                  <c:v>-3</c:v>
                </c:pt>
                <c:pt idx="1">
                  <c:v>-3</c:v>
                </c:pt>
                <c:pt idx="2">
                  <c:v>-3</c:v>
                </c:pt>
                <c:pt idx="3">
                  <c:v>-3</c:v>
                </c:pt>
                <c:pt idx="4">
                  <c:v>0</c:v>
                </c:pt>
                <c:pt idx="5">
                  <c:v>0</c:v>
                </c:pt>
                <c:pt idx="6">
                  <c:v>0</c:v>
                </c:pt>
                <c:pt idx="7">
                  <c:v>0</c:v>
                </c:pt>
                <c:pt idx="8">
                  <c:v>3</c:v>
                </c:pt>
                <c:pt idx="9">
                  <c:v>3</c:v>
                </c:pt>
                <c:pt idx="10">
                  <c:v>3</c:v>
                </c:pt>
                <c:pt idx="11">
                  <c:v>3</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C46C-496B-9E48-EC25B0B7D280}"/>
            </c:ext>
          </c:extLst>
        </c:ser>
        <c:ser>
          <c:idx val="3"/>
          <c:order val="1"/>
          <c:tx>
            <c:v>Column</c:v>
          </c:tx>
          <c:spPr>
            <a:ln w="19050">
              <a:solidFill>
                <a:srgbClr val="000000"/>
              </a:solidFill>
            </a:ln>
          </c:spPr>
          <c:marker>
            <c:symbol val="none"/>
          </c:marker>
          <c:xVal>
            <c:numRef>
              <c:f>'PILECAP WKST'!$G$88:$G$92</c:f>
              <c:numCache>
                <c:formatCode>General</c:formatCode>
                <c:ptCount val="5"/>
                <c:pt idx="0">
                  <c:v>-0.91666666666666663</c:v>
                </c:pt>
                <c:pt idx="1">
                  <c:v>-0.91666666666666663</c:v>
                </c:pt>
                <c:pt idx="2">
                  <c:v>0.91666666666666663</c:v>
                </c:pt>
                <c:pt idx="3">
                  <c:v>0.91666666666666663</c:v>
                </c:pt>
                <c:pt idx="4">
                  <c:v>-0.91666666666666663</c:v>
                </c:pt>
              </c:numCache>
            </c:numRef>
          </c:xVal>
          <c:yVal>
            <c:numRef>
              <c:f>'PILECAP WKST'!$H$88:$H$92</c:f>
              <c:numCache>
                <c:formatCode>General</c:formatCode>
                <c:ptCount val="5"/>
                <c:pt idx="0">
                  <c:v>-0.91666666666666663</c:v>
                </c:pt>
                <c:pt idx="1">
                  <c:v>0.91666666666666663</c:v>
                </c:pt>
                <c:pt idx="2">
                  <c:v>0.91666666666666663</c:v>
                </c:pt>
                <c:pt idx="3">
                  <c:v>-0.91666666666666663</c:v>
                </c:pt>
                <c:pt idx="4">
                  <c:v>-0.91666666666666663</c:v>
                </c:pt>
              </c:numCache>
            </c:numRef>
          </c:yVal>
          <c:smooth val="0"/>
          <c:extLst xmlns:c16r2="http://schemas.microsoft.com/office/drawing/2015/06/chart">
            <c:ext xmlns:c16="http://schemas.microsoft.com/office/drawing/2014/chart" uri="{C3380CC4-5D6E-409C-BE32-E72D297353CC}">
              <c16:uniqueId val="{00000001-C46C-496B-9E48-EC25B0B7D280}"/>
            </c:ext>
          </c:extLst>
        </c:ser>
        <c:ser>
          <c:idx val="0"/>
          <c:order val="2"/>
          <c:tx>
            <c:v>Pile Cap</c:v>
          </c:tx>
          <c:spPr>
            <a:ln w="28575">
              <a:solidFill>
                <a:schemeClr val="tx1"/>
              </a:solidFill>
            </a:ln>
          </c:spPr>
          <c:marker>
            <c:symbol val="none"/>
          </c:marker>
          <c:xVal>
            <c:numRef>
              <c:f>'PILECAP WKST'!$G$66:$G$70</c:f>
              <c:numCache>
                <c:formatCode>General</c:formatCode>
                <c:ptCount val="5"/>
                <c:pt idx="0">
                  <c:v>-5.75</c:v>
                </c:pt>
                <c:pt idx="1">
                  <c:v>-5.75</c:v>
                </c:pt>
                <c:pt idx="2">
                  <c:v>5.75</c:v>
                </c:pt>
                <c:pt idx="3">
                  <c:v>5.75</c:v>
                </c:pt>
                <c:pt idx="4">
                  <c:v>-5.75</c:v>
                </c:pt>
              </c:numCache>
            </c:numRef>
          </c:xVal>
          <c:yVal>
            <c:numRef>
              <c:f>'PILECAP WKST'!$H$66:$H$70</c:f>
              <c:numCache>
                <c:formatCode>General</c:formatCode>
                <c:ptCount val="5"/>
                <c:pt idx="0">
                  <c:v>-4.25</c:v>
                </c:pt>
                <c:pt idx="1">
                  <c:v>4.25</c:v>
                </c:pt>
                <c:pt idx="2">
                  <c:v>4.25</c:v>
                </c:pt>
                <c:pt idx="3">
                  <c:v>-4.25</c:v>
                </c:pt>
                <c:pt idx="4">
                  <c:v>-4.25</c:v>
                </c:pt>
              </c:numCache>
            </c:numRef>
          </c:yVal>
          <c:smooth val="0"/>
          <c:extLst xmlns:c16r2="http://schemas.microsoft.com/office/drawing/2015/06/chart">
            <c:ext xmlns:c16="http://schemas.microsoft.com/office/drawing/2014/chart" uri="{C3380CC4-5D6E-409C-BE32-E72D297353CC}">
              <c16:uniqueId val="{00000002-C46C-496B-9E48-EC25B0B7D280}"/>
            </c:ext>
          </c:extLst>
        </c:ser>
        <c:ser>
          <c:idx val="4"/>
          <c:order val="3"/>
          <c:tx>
            <c:strRef>
              <c:f>'PILECAP WKST'!$F$77</c:f>
              <c:strCache>
                <c:ptCount val="1"/>
                <c:pt idx="0">
                  <c:v>d/2 from Column Face</c:v>
                </c:pt>
              </c:strCache>
            </c:strRef>
          </c:tx>
          <c:spPr>
            <a:ln w="15875">
              <a:solidFill>
                <a:schemeClr val="tx1"/>
              </a:solidFill>
              <a:prstDash val="dash"/>
            </a:ln>
          </c:spPr>
          <c:marker>
            <c:symbol val="none"/>
          </c:marker>
          <c:xVal>
            <c:numRef>
              <c:f>'PILECAP WKST'!$G$79:$G$83</c:f>
              <c:numCache>
                <c:formatCode>General</c:formatCode>
                <c:ptCount val="5"/>
                <c:pt idx="0">
                  <c:v>-2.9166666666666665</c:v>
                </c:pt>
                <c:pt idx="1">
                  <c:v>-2.9166666666666665</c:v>
                </c:pt>
                <c:pt idx="2">
                  <c:v>2.9166666666666665</c:v>
                </c:pt>
                <c:pt idx="3">
                  <c:v>2.9166666666666665</c:v>
                </c:pt>
                <c:pt idx="4">
                  <c:v>-2.9166666666666665</c:v>
                </c:pt>
              </c:numCache>
            </c:numRef>
          </c:xVal>
          <c:yVal>
            <c:numRef>
              <c:f>'PILECAP WKST'!$H$79:$H$83</c:f>
              <c:numCache>
                <c:formatCode>General</c:formatCode>
                <c:ptCount val="5"/>
                <c:pt idx="0">
                  <c:v>-2.9166666666666665</c:v>
                </c:pt>
                <c:pt idx="1">
                  <c:v>2.9166666666666665</c:v>
                </c:pt>
                <c:pt idx="2">
                  <c:v>2.9166666666666665</c:v>
                </c:pt>
                <c:pt idx="3">
                  <c:v>-2.9166666666666665</c:v>
                </c:pt>
                <c:pt idx="4">
                  <c:v>-2.9166666666666665</c:v>
                </c:pt>
              </c:numCache>
            </c:numRef>
          </c:yVal>
          <c:smooth val="0"/>
          <c:extLst xmlns:c16r2="http://schemas.microsoft.com/office/drawing/2015/06/chart">
            <c:ext xmlns:c16="http://schemas.microsoft.com/office/drawing/2014/chart" uri="{C3380CC4-5D6E-409C-BE32-E72D297353CC}">
              <c16:uniqueId val="{00000003-C46C-496B-9E48-EC25B0B7D280}"/>
            </c:ext>
          </c:extLst>
        </c:ser>
        <c:ser>
          <c:idx val="5"/>
          <c:order val="4"/>
          <c:tx>
            <c:strRef>
              <c:f>'PILECAP WKST'!$J$77</c:f>
              <c:strCache>
                <c:ptCount val="1"/>
                <c:pt idx="0">
                  <c:v>d from Column Face in X</c:v>
                </c:pt>
              </c:strCache>
            </c:strRef>
          </c:tx>
          <c:spPr>
            <a:ln w="15875">
              <a:solidFill>
                <a:schemeClr val="tx1"/>
              </a:solidFill>
              <a:prstDash val="sysDash"/>
            </a:ln>
          </c:spPr>
          <c:marker>
            <c:symbol val="none"/>
          </c:marker>
          <c:xVal>
            <c:numRef>
              <c:f>'PILECAP WKST'!$K$79:$K$80</c:f>
              <c:numCache>
                <c:formatCode>General</c:formatCode>
                <c:ptCount val="2"/>
                <c:pt idx="0">
                  <c:v>4.916666666666667</c:v>
                </c:pt>
                <c:pt idx="1">
                  <c:v>4.916666666666667</c:v>
                </c:pt>
              </c:numCache>
            </c:numRef>
          </c:xVal>
          <c:yVal>
            <c:numRef>
              <c:f>'PILECAP WKST'!$L$79:$L$80</c:f>
              <c:numCache>
                <c:formatCode>General</c:formatCode>
                <c:ptCount val="2"/>
                <c:pt idx="0">
                  <c:v>-4.25</c:v>
                </c:pt>
                <c:pt idx="1">
                  <c:v>4.25</c:v>
                </c:pt>
              </c:numCache>
            </c:numRef>
          </c:yVal>
          <c:smooth val="0"/>
          <c:extLst xmlns:c16r2="http://schemas.microsoft.com/office/drawing/2015/06/chart">
            <c:ext xmlns:c16="http://schemas.microsoft.com/office/drawing/2014/chart" uri="{C3380CC4-5D6E-409C-BE32-E72D297353CC}">
              <c16:uniqueId val="{00000004-C46C-496B-9E48-EC25B0B7D280}"/>
            </c:ext>
          </c:extLst>
        </c:ser>
        <c:ser>
          <c:idx val="6"/>
          <c:order val="5"/>
          <c:tx>
            <c:strRef>
              <c:f>'PILECAP WKST'!$J$83</c:f>
              <c:strCache>
                <c:ptCount val="1"/>
                <c:pt idx="0">
                  <c:v>d from Column Face in Y</c:v>
                </c:pt>
              </c:strCache>
            </c:strRef>
          </c:tx>
          <c:spPr>
            <a:ln w="15875">
              <a:solidFill>
                <a:schemeClr val="tx1"/>
              </a:solidFill>
              <a:prstDash val="sysDash"/>
            </a:ln>
          </c:spPr>
          <c:marker>
            <c:symbol val="none"/>
          </c:marker>
          <c:xVal>
            <c:numRef>
              <c:f>'PILECAP WKST'!$K$85:$K$86</c:f>
              <c:numCache>
                <c:formatCode>General</c:formatCode>
                <c:ptCount val="2"/>
                <c:pt idx="0">
                  <c:v>-5.75</c:v>
                </c:pt>
                <c:pt idx="1">
                  <c:v>5.75</c:v>
                </c:pt>
              </c:numCache>
            </c:numRef>
          </c:xVal>
          <c:yVal>
            <c:numRef>
              <c:f>'PILECAP WKST'!$L$85:$L$86</c:f>
              <c:numCache>
                <c:formatCode>General</c:formatCode>
                <c:ptCount val="2"/>
                <c:pt idx="0">
                  <c:v>4.916666666666667</c:v>
                </c:pt>
                <c:pt idx="1">
                  <c:v>4.916666666666667</c:v>
                </c:pt>
              </c:numCache>
            </c:numRef>
          </c:yVal>
          <c:smooth val="0"/>
          <c:extLst xmlns:c16r2="http://schemas.microsoft.com/office/drawing/2015/06/chart">
            <c:ext xmlns:c16="http://schemas.microsoft.com/office/drawing/2014/chart" uri="{C3380CC4-5D6E-409C-BE32-E72D297353CC}">
              <c16:uniqueId val="{00000005-C46C-496B-9E48-EC25B0B7D280}"/>
            </c:ext>
          </c:extLst>
        </c:ser>
        <c:ser>
          <c:idx val="2"/>
          <c:order val="6"/>
          <c:tx>
            <c:strRef>
              <c:f>'PILECAP WKST'!$J$89</c:f>
              <c:strCache>
                <c:ptCount val="1"/>
                <c:pt idx="0">
                  <c:v>Column Face in X</c:v>
                </c:pt>
              </c:strCache>
            </c:strRef>
          </c:tx>
          <c:spPr>
            <a:ln w="15875">
              <a:solidFill>
                <a:srgbClr val="000000"/>
              </a:solidFill>
              <a:prstDash val="lgDash"/>
            </a:ln>
          </c:spPr>
          <c:marker>
            <c:symbol val="none"/>
          </c:marker>
          <c:xVal>
            <c:numRef>
              <c:f>'PILECAP WKST'!$K$91:$K$92</c:f>
              <c:numCache>
                <c:formatCode>General</c:formatCode>
                <c:ptCount val="2"/>
                <c:pt idx="0">
                  <c:v>0.91666666666666663</c:v>
                </c:pt>
                <c:pt idx="1">
                  <c:v>0.91666666666666663</c:v>
                </c:pt>
              </c:numCache>
            </c:numRef>
          </c:xVal>
          <c:yVal>
            <c:numRef>
              <c:f>'PILECAP WKST'!$L$91:$L$92</c:f>
              <c:numCache>
                <c:formatCode>General</c:formatCode>
                <c:ptCount val="2"/>
                <c:pt idx="0">
                  <c:v>-4.25</c:v>
                </c:pt>
                <c:pt idx="1">
                  <c:v>4.25</c:v>
                </c:pt>
              </c:numCache>
            </c:numRef>
          </c:yVal>
          <c:smooth val="0"/>
          <c:extLst xmlns:c16r2="http://schemas.microsoft.com/office/drawing/2015/06/chart">
            <c:ext xmlns:c16="http://schemas.microsoft.com/office/drawing/2014/chart" uri="{C3380CC4-5D6E-409C-BE32-E72D297353CC}">
              <c16:uniqueId val="{00000006-C46C-496B-9E48-EC25B0B7D280}"/>
            </c:ext>
          </c:extLst>
        </c:ser>
        <c:ser>
          <c:idx val="7"/>
          <c:order val="7"/>
          <c:tx>
            <c:strRef>
              <c:f>'PILECAP WKST'!$J$95</c:f>
              <c:strCache>
                <c:ptCount val="1"/>
                <c:pt idx="0">
                  <c:v>Column Face in Y</c:v>
                </c:pt>
              </c:strCache>
            </c:strRef>
          </c:tx>
          <c:spPr>
            <a:ln w="15875">
              <a:solidFill>
                <a:srgbClr val="000000"/>
              </a:solidFill>
              <a:prstDash val="lgDash"/>
            </a:ln>
          </c:spPr>
          <c:marker>
            <c:symbol val="none"/>
          </c:marker>
          <c:xVal>
            <c:numRef>
              <c:f>'PILECAP WKST'!$K$97:$K$98</c:f>
              <c:numCache>
                <c:formatCode>General</c:formatCode>
                <c:ptCount val="2"/>
                <c:pt idx="0">
                  <c:v>-5.75</c:v>
                </c:pt>
                <c:pt idx="1">
                  <c:v>5.75</c:v>
                </c:pt>
              </c:numCache>
            </c:numRef>
          </c:xVal>
          <c:yVal>
            <c:numRef>
              <c:f>'PILECAP WKST'!$L$97:$L$98</c:f>
              <c:numCache>
                <c:formatCode>General</c:formatCode>
                <c:ptCount val="2"/>
                <c:pt idx="0">
                  <c:v>0.91666666666666663</c:v>
                </c:pt>
                <c:pt idx="1">
                  <c:v>0.91666666666666663</c:v>
                </c:pt>
              </c:numCache>
            </c:numRef>
          </c:yVal>
          <c:smooth val="0"/>
          <c:extLst xmlns:c16r2="http://schemas.microsoft.com/office/drawing/2015/06/chart">
            <c:ext xmlns:c16="http://schemas.microsoft.com/office/drawing/2014/chart" uri="{C3380CC4-5D6E-409C-BE32-E72D297353CC}">
              <c16:uniqueId val="{00000007-C46C-496B-9E48-EC25B0B7D280}"/>
            </c:ext>
          </c:extLst>
        </c:ser>
        <c:ser>
          <c:idx val="8"/>
          <c:order val="8"/>
          <c:tx>
            <c:strRef>
              <c:f>'PILECAP WKST'!$J$100</c:f>
              <c:strCache>
                <c:ptCount val="1"/>
                <c:pt idx="0">
                  <c:v>X Rebar Representative</c:v>
                </c:pt>
              </c:strCache>
            </c:strRef>
          </c:tx>
          <c:spPr>
            <a:ln w="22225">
              <a:solidFill>
                <a:schemeClr val="tx1"/>
              </a:solidFill>
              <a:headEnd type="oval"/>
              <a:tailEnd type="oval"/>
            </a:ln>
          </c:spPr>
          <c:marker>
            <c:symbol val="none"/>
          </c:marker>
          <c:xVal>
            <c:numRef>
              <c:f>'PILECAP WKST'!$K$102:$K$103</c:f>
              <c:numCache>
                <c:formatCode>General</c:formatCode>
                <c:ptCount val="2"/>
                <c:pt idx="0">
                  <c:v>-5.5</c:v>
                </c:pt>
                <c:pt idx="1">
                  <c:v>5.5</c:v>
                </c:pt>
              </c:numCache>
            </c:numRef>
          </c:xVal>
          <c:yVal>
            <c:numRef>
              <c:f>'PILECAP WKST'!$L$102:$L$103</c:f>
              <c:numCache>
                <c:formatCode>General</c:formatCode>
                <c:ptCount val="2"/>
                <c:pt idx="0">
                  <c:v>1.5</c:v>
                </c:pt>
                <c:pt idx="1">
                  <c:v>1.5</c:v>
                </c:pt>
              </c:numCache>
            </c:numRef>
          </c:yVal>
          <c:smooth val="0"/>
          <c:extLst xmlns:c16r2="http://schemas.microsoft.com/office/drawing/2015/06/chart">
            <c:ext xmlns:c16="http://schemas.microsoft.com/office/drawing/2014/chart" uri="{C3380CC4-5D6E-409C-BE32-E72D297353CC}">
              <c16:uniqueId val="{00000008-C46C-496B-9E48-EC25B0B7D280}"/>
            </c:ext>
          </c:extLst>
        </c:ser>
        <c:ser>
          <c:idx val="9"/>
          <c:order val="9"/>
          <c:tx>
            <c:strRef>
              <c:f>'PILECAP WKST'!$J$104</c:f>
              <c:strCache>
                <c:ptCount val="1"/>
                <c:pt idx="0">
                  <c:v>Y Rebar Representative</c:v>
                </c:pt>
              </c:strCache>
            </c:strRef>
          </c:tx>
          <c:spPr>
            <a:ln w="22225">
              <a:solidFill>
                <a:schemeClr val="tx1"/>
              </a:solidFill>
              <a:headEnd type="oval"/>
              <a:tailEnd type="oval"/>
            </a:ln>
          </c:spPr>
          <c:marker>
            <c:symbol val="none"/>
          </c:marker>
          <c:xVal>
            <c:numRef>
              <c:f>'PILECAP WKST'!$K$106:$K$107</c:f>
              <c:numCache>
                <c:formatCode>General</c:formatCode>
                <c:ptCount val="2"/>
                <c:pt idx="0">
                  <c:v>3</c:v>
                </c:pt>
                <c:pt idx="1">
                  <c:v>3</c:v>
                </c:pt>
              </c:numCache>
            </c:numRef>
          </c:xVal>
          <c:yVal>
            <c:numRef>
              <c:f>'PILECAP WKST'!$L$106:$L$107</c:f>
              <c:numCache>
                <c:formatCode>General</c:formatCode>
                <c:ptCount val="2"/>
                <c:pt idx="0">
                  <c:v>-4</c:v>
                </c:pt>
                <c:pt idx="1">
                  <c:v>4</c:v>
                </c:pt>
              </c:numCache>
            </c:numRef>
          </c:yVal>
          <c:smooth val="0"/>
          <c:extLst xmlns:c16r2="http://schemas.microsoft.com/office/drawing/2015/06/chart">
            <c:ext xmlns:c16="http://schemas.microsoft.com/office/drawing/2014/chart" uri="{C3380CC4-5D6E-409C-BE32-E72D297353CC}">
              <c16:uniqueId val="{00000009-C46C-496B-9E48-EC25B0B7D280}"/>
            </c:ext>
          </c:extLst>
        </c:ser>
        <c:ser>
          <c:idx val="10"/>
          <c:order val="10"/>
          <c:tx>
            <c:strRef>
              <c:f>'PILECAP WKST'!$J$109</c:f>
              <c:strCache>
                <c:ptCount val="1"/>
                <c:pt idx="0">
                  <c:v>X Dim</c:v>
                </c:pt>
              </c:strCache>
            </c:strRef>
          </c:tx>
          <c:spPr>
            <a:ln w="28575">
              <a:solidFill>
                <a:schemeClr val="tx1"/>
              </a:solidFill>
              <a:headEnd type="arrow"/>
              <a:tailEnd type="arrow"/>
            </a:ln>
          </c:spPr>
          <c:marker>
            <c:symbol val="none"/>
          </c:marker>
          <c:dPt>
            <c:idx val="1"/>
            <c:bubble3D val="0"/>
            <c:spPr>
              <a:ln w="15875">
                <a:solidFill>
                  <a:schemeClr val="tx1"/>
                </a:solidFill>
                <a:headEnd type="arrow"/>
                <a:tailEnd type="arrow"/>
              </a:ln>
            </c:spPr>
            <c:extLst xmlns:c16r2="http://schemas.microsoft.com/office/drawing/2015/06/chart">
              <c:ext xmlns:c16="http://schemas.microsoft.com/office/drawing/2014/chart" uri="{C3380CC4-5D6E-409C-BE32-E72D297353CC}">
                <c16:uniqueId val="{0000000B-C46C-496B-9E48-EC25B0B7D280}"/>
              </c:ext>
            </c:extLst>
          </c:dPt>
          <c:xVal>
            <c:numRef>
              <c:f>'PILECAP WKST'!$K$111:$K$112</c:f>
              <c:numCache>
                <c:formatCode>General</c:formatCode>
                <c:ptCount val="2"/>
                <c:pt idx="0">
                  <c:v>-5.75</c:v>
                </c:pt>
                <c:pt idx="1">
                  <c:v>5.75</c:v>
                </c:pt>
              </c:numCache>
            </c:numRef>
          </c:xVal>
          <c:yVal>
            <c:numRef>
              <c:f>'PILECAP WKST'!$L$111:$L$112</c:f>
              <c:numCache>
                <c:formatCode>General</c:formatCode>
                <c:ptCount val="2"/>
                <c:pt idx="0">
                  <c:v>-4.6750000000000007</c:v>
                </c:pt>
                <c:pt idx="1">
                  <c:v>-4.6750000000000007</c:v>
                </c:pt>
              </c:numCache>
            </c:numRef>
          </c:yVal>
          <c:smooth val="0"/>
          <c:extLst xmlns:c16r2="http://schemas.microsoft.com/office/drawing/2015/06/chart">
            <c:ext xmlns:c16="http://schemas.microsoft.com/office/drawing/2014/chart" uri="{C3380CC4-5D6E-409C-BE32-E72D297353CC}">
              <c16:uniqueId val="{0000000C-C46C-496B-9E48-EC25B0B7D280}"/>
            </c:ext>
          </c:extLst>
        </c:ser>
        <c:ser>
          <c:idx val="11"/>
          <c:order val="11"/>
          <c:tx>
            <c:strRef>
              <c:f>'PILECAP WKST'!$J$114</c:f>
              <c:strCache>
                <c:ptCount val="1"/>
                <c:pt idx="0">
                  <c:v>Y Dim</c:v>
                </c:pt>
              </c:strCache>
            </c:strRef>
          </c:tx>
          <c:spPr>
            <a:ln w="15875">
              <a:solidFill>
                <a:schemeClr val="tx1"/>
              </a:solidFill>
              <a:headEnd type="arrow"/>
              <a:tailEnd type="arrow"/>
            </a:ln>
          </c:spPr>
          <c:marker>
            <c:symbol val="none"/>
          </c:marker>
          <c:xVal>
            <c:numRef>
              <c:f>'PILECAP WKST'!$K$116:$K$117</c:f>
              <c:numCache>
                <c:formatCode>General</c:formatCode>
                <c:ptCount val="2"/>
                <c:pt idx="0">
                  <c:v>-6.3250000000000002</c:v>
                </c:pt>
                <c:pt idx="1">
                  <c:v>-6.3250000000000002</c:v>
                </c:pt>
              </c:numCache>
            </c:numRef>
          </c:xVal>
          <c:yVal>
            <c:numRef>
              <c:f>'PILECAP WKST'!$L$116:$L$117</c:f>
              <c:numCache>
                <c:formatCode>General</c:formatCode>
                <c:ptCount val="2"/>
                <c:pt idx="0">
                  <c:v>-4.25</c:v>
                </c:pt>
                <c:pt idx="1">
                  <c:v>4.25</c:v>
                </c:pt>
              </c:numCache>
            </c:numRef>
          </c:yVal>
          <c:smooth val="0"/>
          <c:extLst xmlns:c16r2="http://schemas.microsoft.com/office/drawing/2015/06/chart">
            <c:ext xmlns:c16="http://schemas.microsoft.com/office/drawing/2014/chart" uri="{C3380CC4-5D6E-409C-BE32-E72D297353CC}">
              <c16:uniqueId val="{0000000D-C46C-496B-9E48-EC25B0B7D280}"/>
            </c:ext>
          </c:extLst>
        </c:ser>
        <c:ser>
          <c:idx val="12"/>
          <c:order val="12"/>
          <c:tx>
            <c:v>Column Location</c:v>
          </c:tx>
          <c:spPr>
            <a:ln w="28575">
              <a:noFill/>
            </a:ln>
          </c:spPr>
          <c:marker>
            <c:symbol val="circle"/>
            <c:size val="7"/>
            <c:spPr>
              <a:noFill/>
              <a:ln>
                <a:solidFill>
                  <a:sysClr val="windowText" lastClr="000000"/>
                </a:solidFill>
              </a:ln>
            </c:spPr>
          </c:marker>
          <c:xVal>
            <c:numRef>
              <c:f>'DESIGN CRIT'!$B$43</c:f>
              <c:numCache>
                <c:formatCode>General</c:formatCode>
                <c:ptCount val="1"/>
                <c:pt idx="0">
                  <c:v>0</c:v>
                </c:pt>
              </c:numCache>
            </c:numRef>
          </c:xVal>
          <c:yVal>
            <c:numRef>
              <c:f>'DESIGN CRIT'!$C$43</c:f>
              <c:numCache>
                <c:formatCode>General</c:formatCode>
                <c:ptCount val="1"/>
                <c:pt idx="0">
                  <c:v>0</c:v>
                </c:pt>
              </c:numCache>
            </c:numRef>
          </c:yVal>
          <c:smooth val="0"/>
          <c:extLst xmlns:c16r2="http://schemas.microsoft.com/office/drawing/2015/06/chart">
            <c:ext xmlns:c16="http://schemas.microsoft.com/office/drawing/2014/chart" uri="{C3380CC4-5D6E-409C-BE32-E72D297353CC}">
              <c16:uniqueId val="{0000000E-C46C-496B-9E48-EC25B0B7D280}"/>
            </c:ext>
          </c:extLst>
        </c:ser>
        <c:ser>
          <c:idx val="13"/>
          <c:order val="13"/>
          <c:tx>
            <c:strRef>
              <c:f>'PILECAP WKST'!$J$64</c:f>
              <c:strCache>
                <c:ptCount val="1"/>
                <c:pt idx="0">
                  <c:v>Enlarged Pile Cap For Scaling</c:v>
                </c:pt>
              </c:strCache>
            </c:strRef>
          </c:tx>
          <c:spPr>
            <a:ln w="28575">
              <a:noFill/>
            </a:ln>
          </c:spPr>
          <c:marker>
            <c:symbol val="none"/>
          </c:marker>
          <c:xVal>
            <c:numRef>
              <c:f>'PILECAP WKST'!$K$66:$K$70</c:f>
              <c:numCache>
                <c:formatCode>General</c:formatCode>
                <c:ptCount val="5"/>
                <c:pt idx="0">
                  <c:v>-6.3250000000000002</c:v>
                </c:pt>
                <c:pt idx="1">
                  <c:v>-6.3250000000000002</c:v>
                </c:pt>
                <c:pt idx="2">
                  <c:v>6.3250000000000002</c:v>
                </c:pt>
                <c:pt idx="3">
                  <c:v>6.3250000000000002</c:v>
                </c:pt>
                <c:pt idx="4">
                  <c:v>-6.3250000000000002</c:v>
                </c:pt>
              </c:numCache>
            </c:numRef>
          </c:xVal>
          <c:yVal>
            <c:numRef>
              <c:f>'PILECAP WKST'!$L$66:$L$70</c:f>
              <c:numCache>
                <c:formatCode>General</c:formatCode>
                <c:ptCount val="5"/>
                <c:pt idx="0">
                  <c:v>-6.3250000000000002</c:v>
                </c:pt>
                <c:pt idx="1">
                  <c:v>6.3250000000000002</c:v>
                </c:pt>
                <c:pt idx="2">
                  <c:v>6.3250000000000002</c:v>
                </c:pt>
                <c:pt idx="3">
                  <c:v>-6.3250000000000002</c:v>
                </c:pt>
                <c:pt idx="4">
                  <c:v>-6.3250000000000002</c:v>
                </c:pt>
              </c:numCache>
            </c:numRef>
          </c:yVal>
          <c:smooth val="0"/>
          <c:extLst xmlns:c16r2="http://schemas.microsoft.com/office/drawing/2015/06/chart">
            <c:ext xmlns:c16="http://schemas.microsoft.com/office/drawing/2014/chart" uri="{C3380CC4-5D6E-409C-BE32-E72D297353CC}">
              <c16:uniqueId val="{0000000F-C46C-496B-9E48-EC25B0B7D280}"/>
            </c:ext>
          </c:extLst>
        </c:ser>
        <c:dLbls>
          <c:showLegendKey val="0"/>
          <c:showVal val="0"/>
          <c:showCatName val="0"/>
          <c:showSerName val="0"/>
          <c:showPercent val="0"/>
          <c:showBubbleSize val="0"/>
        </c:dLbls>
        <c:axId val="403969984"/>
        <c:axId val="403970376"/>
      </c:scatterChart>
      <c:valAx>
        <c:axId val="403969984"/>
        <c:scaling>
          <c:orientation val="minMax"/>
        </c:scaling>
        <c:delete val="0"/>
        <c:axPos val="b"/>
        <c:numFmt formatCode="0"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en-US"/>
          </a:p>
        </c:txPr>
        <c:crossAx val="403970376"/>
        <c:crosses val="autoZero"/>
        <c:crossBetween val="midCat"/>
      </c:valAx>
      <c:valAx>
        <c:axId val="403970376"/>
        <c:scaling>
          <c:orientation val="minMax"/>
        </c:scaling>
        <c:delete val="0"/>
        <c:axPos val="l"/>
        <c:numFmt formatCode="0"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en-US"/>
          </a:p>
        </c:txPr>
        <c:crossAx val="403969984"/>
        <c:crosses val="autoZero"/>
        <c:crossBetween val="midCat"/>
      </c:valAx>
      <c:spPr>
        <a:solidFill>
          <a:srgbClr val="FFFFFF"/>
        </a:solidFill>
        <a:ln w="12700">
          <a:solidFill>
            <a:srgbClr val="FFFFFF"/>
          </a:solidFill>
          <a:prstDash val="solid"/>
        </a:ln>
      </c:spPr>
    </c:plotArea>
    <c:legend>
      <c:legendPos val="r"/>
      <c:legendEntry>
        <c:idx val="13"/>
        <c:delete val="1"/>
      </c:legendEntry>
      <c:overlay val="0"/>
      <c:txPr>
        <a:bodyPr/>
        <a:lstStyle/>
        <a:p>
          <a:pPr>
            <a:defRPr sz="900"/>
          </a:pPr>
          <a:endParaRPr lang="en-US"/>
        </a:p>
      </c:txPr>
    </c:legend>
    <c:plotVisOnly val="1"/>
    <c:dispBlanksAs val="gap"/>
    <c:showDLblsOverMax val="0"/>
  </c:chart>
  <c:spPr>
    <a:solidFill>
      <a:srgbClr val="FFFFFF"/>
    </a:solidFill>
    <a:ln w="9525">
      <a:no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verticalDpi="0"/>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2.png"/><Relationship Id="rId7"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image" Target="../media/image3.png"/><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28575</xdr:colOff>
      <xdr:row>127</xdr:row>
      <xdr:rowOff>57150</xdr:rowOff>
    </xdr:from>
    <xdr:to>
      <xdr:col>8</xdr:col>
      <xdr:colOff>163327</xdr:colOff>
      <xdr:row>145</xdr:row>
      <xdr:rowOff>23195</xdr:rowOff>
    </xdr:to>
    <xdr:graphicFrame macro="">
      <xdr:nvGraphicFramePr>
        <xdr:cNvPr id="73" name="Chart 37">
          <a:extLst>
            <a:ext uri="{FF2B5EF4-FFF2-40B4-BE49-F238E27FC236}">
              <a16:creationId xmlns="" xmlns:a16="http://schemas.microsoft.com/office/drawing/2014/main" id="{00000000-0008-0000-0000-000049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459442</xdr:colOff>
      <xdr:row>156</xdr:row>
      <xdr:rowOff>28154</xdr:rowOff>
    </xdr:from>
    <xdr:to>
      <xdr:col>6</xdr:col>
      <xdr:colOff>149875</xdr:colOff>
      <xdr:row>166</xdr:row>
      <xdr:rowOff>154869</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1535207" y="26160272"/>
          <a:ext cx="1882588" cy="1695536"/>
        </a:xfrm>
        <a:prstGeom prst="rect">
          <a:avLst/>
        </a:prstGeom>
        <a:ln>
          <a:solidFill>
            <a:sysClr val="windowText" lastClr="000000"/>
          </a:solidFill>
        </a:ln>
      </xdr:spPr>
    </xdr:pic>
    <xdr:clientData/>
  </xdr:twoCellAnchor>
  <xdr:twoCellAnchor editAs="oneCell">
    <xdr:from>
      <xdr:col>1</xdr:col>
      <xdr:colOff>114300</xdr:colOff>
      <xdr:row>106</xdr:row>
      <xdr:rowOff>111016</xdr:rowOff>
    </xdr:from>
    <xdr:to>
      <xdr:col>7</xdr:col>
      <xdr:colOff>40436</xdr:colOff>
      <xdr:row>123</xdr:row>
      <xdr:rowOff>150428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657225" y="19056241"/>
          <a:ext cx="3221786" cy="2830237"/>
        </a:xfrm>
        <a:prstGeom prst="rect">
          <a:avLst/>
        </a:prstGeom>
        <a:ln>
          <a:solidFill>
            <a:sysClr val="windowText" lastClr="000000"/>
          </a:solidFill>
        </a:ln>
      </xdr:spPr>
    </xdr:pic>
    <xdr:clientData/>
  </xdr:twoCellAnchor>
  <xdr:twoCellAnchor>
    <xdr:from>
      <xdr:col>1</xdr:col>
      <xdr:colOff>323850</xdr:colOff>
      <xdr:row>323</xdr:row>
      <xdr:rowOff>28575</xdr:rowOff>
    </xdr:from>
    <xdr:to>
      <xdr:col>8</xdr:col>
      <xdr:colOff>458602</xdr:colOff>
      <xdr:row>341</xdr:row>
      <xdr:rowOff>28575</xdr:rowOff>
    </xdr:to>
    <xdr:graphicFrame macro="">
      <xdr:nvGraphicFramePr>
        <xdr:cNvPr id="68" name="Chart 37">
          <a:extLst>
            <a:ext uri="{FF2B5EF4-FFF2-40B4-BE49-F238E27FC236}">
              <a16:creationId xmlns="" xmlns:a16="http://schemas.microsoft.com/office/drawing/2014/main" id="{00000000-0008-0000-0000-000044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190500</xdr:colOff>
      <xdr:row>359</xdr:row>
      <xdr:rowOff>9526</xdr:rowOff>
    </xdr:from>
    <xdr:to>
      <xdr:col>8</xdr:col>
      <xdr:colOff>325252</xdr:colOff>
      <xdr:row>375</xdr:row>
      <xdr:rowOff>133350</xdr:rowOff>
    </xdr:to>
    <xdr:graphicFrame macro="">
      <xdr:nvGraphicFramePr>
        <xdr:cNvPr id="69" name="Chart 37">
          <a:extLst>
            <a:ext uri="{FF2B5EF4-FFF2-40B4-BE49-F238E27FC236}">
              <a16:creationId xmlns="" xmlns:a16="http://schemas.microsoft.com/office/drawing/2014/main" id="{00000000-0008-0000-0000-000045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180975</xdr:colOff>
      <xdr:row>416</xdr:row>
      <xdr:rowOff>54218</xdr:rowOff>
    </xdr:from>
    <xdr:to>
      <xdr:col>8</xdr:col>
      <xdr:colOff>315727</xdr:colOff>
      <xdr:row>436</xdr:row>
      <xdr:rowOff>97195</xdr:rowOff>
    </xdr:to>
    <xdr:graphicFrame macro="">
      <xdr:nvGraphicFramePr>
        <xdr:cNvPr id="70" name="Chart 37">
          <a:extLst>
            <a:ext uri="{FF2B5EF4-FFF2-40B4-BE49-F238E27FC236}">
              <a16:creationId xmlns="" xmlns:a16="http://schemas.microsoft.com/office/drawing/2014/main" id="{00000000-0008-0000-0000-000046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133350</xdr:colOff>
      <xdr:row>238</xdr:row>
      <xdr:rowOff>123825</xdr:rowOff>
    </xdr:from>
    <xdr:to>
      <xdr:col>8</xdr:col>
      <xdr:colOff>268102</xdr:colOff>
      <xdr:row>253</xdr:row>
      <xdr:rowOff>134564</xdr:rowOff>
    </xdr:to>
    <xdr:graphicFrame macro="">
      <xdr:nvGraphicFramePr>
        <xdr:cNvPr id="79" name="Chart 37">
          <a:extLst>
            <a:ext uri="{FF2B5EF4-FFF2-40B4-BE49-F238E27FC236}">
              <a16:creationId xmlns="" xmlns:a16="http://schemas.microsoft.com/office/drawing/2014/main" id="{00000000-0008-0000-0000-00004F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85725</xdr:colOff>
      <xdr:row>181</xdr:row>
      <xdr:rowOff>38100</xdr:rowOff>
    </xdr:from>
    <xdr:to>
      <xdr:col>8</xdr:col>
      <xdr:colOff>220477</xdr:colOff>
      <xdr:row>199</xdr:row>
      <xdr:rowOff>4145</xdr:rowOff>
    </xdr:to>
    <xdr:graphicFrame macro="">
      <xdr:nvGraphicFramePr>
        <xdr:cNvPr id="81" name="Chart 37">
          <a:extLst>
            <a:ext uri="{FF2B5EF4-FFF2-40B4-BE49-F238E27FC236}">
              <a16:creationId xmlns="" xmlns:a16="http://schemas.microsoft.com/office/drawing/2014/main" id="{00000000-0008-0000-0000-000051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482413</xdr:colOff>
      <xdr:row>78</xdr:row>
      <xdr:rowOff>47625</xdr:rowOff>
    </xdr:from>
    <xdr:to>
      <xdr:col>8</xdr:col>
      <xdr:colOff>74240</xdr:colOff>
      <xdr:row>96</xdr:row>
      <xdr:rowOff>80342</xdr:rowOff>
    </xdr:to>
    <xdr:graphicFrame macro="">
      <xdr:nvGraphicFramePr>
        <xdr:cNvPr id="47" name="Chart 37">
          <a:extLst>
            <a:ext uri="{FF2B5EF4-FFF2-40B4-BE49-F238E27FC236}">
              <a16:creationId xmlns="" xmlns:a16="http://schemas.microsoft.com/office/drawing/2014/main" id="{00000000-0008-0000-0000-00002F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0</xdr:colOff>
      <xdr:row>12</xdr:row>
      <xdr:rowOff>0</xdr:rowOff>
    </xdr:from>
    <xdr:to>
      <xdr:col>7</xdr:col>
      <xdr:colOff>285750</xdr:colOff>
      <xdr:row>24</xdr:row>
      <xdr:rowOff>93856</xdr:rowOff>
    </xdr:to>
    <xdr:pic>
      <xdr:nvPicPr>
        <xdr:cNvPr id="5" name="Picture 4"/>
        <xdr:cNvPicPr>
          <a:picLocks noChangeAspect="1"/>
        </xdr:cNvPicPr>
      </xdr:nvPicPr>
      <xdr:blipFill>
        <a:blip xmlns:r="http://schemas.openxmlformats.org/officeDocument/2006/relationships" r:embed="rId10"/>
        <a:stretch>
          <a:fillRect/>
        </a:stretch>
      </xdr:blipFill>
      <xdr:spPr>
        <a:xfrm>
          <a:off x="1085850" y="3038475"/>
          <a:ext cx="3038475" cy="2075056"/>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cdr:x>
      <cdr:y>0.4283</cdr:y>
    </cdr:from>
    <cdr:to>
      <cdr:x>0.14661</cdr:x>
      <cdr:y>0.59868</cdr:y>
    </cdr:to>
    <cdr:sp macro="" textlink="">
      <cdr:nvSpPr>
        <cdr:cNvPr id="2" name="TextBox 1"/>
        <cdr:cNvSpPr txBox="1"/>
      </cdr:nvSpPr>
      <cdr:spPr>
        <a:xfrm xmlns:a="http://schemas.openxmlformats.org/drawingml/2006/main">
          <a:off x="0" y="1435588"/>
          <a:ext cx="599830" cy="57107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Width</a:t>
          </a:r>
        </a:p>
        <a:p xmlns:a="http://schemas.openxmlformats.org/drawingml/2006/main">
          <a:r>
            <a:rPr lang="en-US" sz="1100" baseline="0"/>
            <a:t>in Y</a:t>
          </a:r>
          <a:endParaRPr lang="en-US" sz="1100"/>
        </a:p>
      </cdr:txBody>
    </cdr:sp>
  </cdr:relSizeAnchor>
  <cdr:relSizeAnchor xmlns:cdr="http://schemas.openxmlformats.org/drawingml/2006/chartDrawing">
    <cdr:from>
      <cdr:x>0.26314</cdr:x>
      <cdr:y>0.83926</cdr:y>
    </cdr:from>
    <cdr:to>
      <cdr:x>0.54622</cdr:x>
      <cdr:y>0.96195</cdr:y>
    </cdr:to>
    <cdr:sp macro="" textlink="">
      <cdr:nvSpPr>
        <cdr:cNvPr id="3" name="TextBox 1"/>
        <cdr:cNvSpPr txBox="1"/>
      </cdr:nvSpPr>
      <cdr:spPr>
        <a:xfrm xmlns:a="http://schemas.openxmlformats.org/drawingml/2006/main">
          <a:off x="1076569" y="2813050"/>
          <a:ext cx="1158162" cy="41121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Width</a:t>
          </a:r>
          <a:r>
            <a:rPr lang="en-US" sz="1100" baseline="0"/>
            <a:t> in X</a:t>
          </a:r>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95252</xdr:colOff>
      <xdr:row>95</xdr:row>
      <xdr:rowOff>93561</xdr:rowOff>
    </xdr:from>
    <xdr:to>
      <xdr:col>8</xdr:col>
      <xdr:colOff>237330</xdr:colOff>
      <xdr:row>112</xdr:row>
      <xdr:rowOff>96974</xdr:rowOff>
    </xdr:to>
    <xdr:graphicFrame macro="">
      <xdr:nvGraphicFramePr>
        <xdr:cNvPr id="2" name="Chart 37">
          <a:extLst>
            <a:ext uri="{FF2B5EF4-FFF2-40B4-BE49-F238E27FC236}">
              <a16:creationId xmlns="" xmlns:a16="http://schemas.microsoft.com/office/drawing/2014/main" id="{00000000-0008-0000-0200-000002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457200</xdr:colOff>
      <xdr:row>129</xdr:row>
      <xdr:rowOff>0</xdr:rowOff>
    </xdr:from>
    <xdr:ext cx="4295350" cy="2277541"/>
    <xdr:pic>
      <xdr:nvPicPr>
        <xdr:cNvPr id="3" name="Picture 2">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7258050" y="22355175"/>
          <a:ext cx="4295350" cy="227754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19051</xdr:colOff>
      <xdr:row>56</xdr:row>
      <xdr:rowOff>114300</xdr:rowOff>
    </xdr:from>
    <xdr:to>
      <xdr:col>4</xdr:col>
      <xdr:colOff>476251</xdr:colOff>
      <xdr:row>74</xdr:row>
      <xdr:rowOff>123583</xdr:rowOff>
    </xdr:to>
    <xdr:pic>
      <xdr:nvPicPr>
        <xdr:cNvPr id="2" name="Picture 1"/>
        <xdr:cNvPicPr>
          <a:picLocks noChangeAspect="1"/>
        </xdr:cNvPicPr>
      </xdr:nvPicPr>
      <xdr:blipFill>
        <a:blip xmlns:r="http://schemas.openxmlformats.org/officeDocument/2006/relationships" r:embed="rId1"/>
        <a:stretch>
          <a:fillRect/>
        </a:stretch>
      </xdr:blipFill>
      <xdr:spPr>
        <a:xfrm>
          <a:off x="19051" y="9182100"/>
          <a:ext cx="2895600" cy="2923933"/>
        </a:xfrm>
        <a:prstGeom prst="rect">
          <a:avLst/>
        </a:prstGeom>
      </xdr:spPr>
    </xdr:pic>
    <xdr:clientData/>
  </xdr:twoCellAnchor>
  <xdr:twoCellAnchor editAs="oneCell">
    <xdr:from>
      <xdr:col>0</xdr:col>
      <xdr:colOff>0</xdr:colOff>
      <xdr:row>0</xdr:row>
      <xdr:rowOff>0</xdr:rowOff>
    </xdr:from>
    <xdr:to>
      <xdr:col>8</xdr:col>
      <xdr:colOff>151771</xdr:colOff>
      <xdr:row>39</xdr:row>
      <xdr:rowOff>84925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0"/>
          <a:ext cx="5028571" cy="6400000"/>
        </a:xfrm>
        <a:prstGeom prst="rect">
          <a:avLst/>
        </a:prstGeom>
      </xdr:spPr>
    </xdr:pic>
    <xdr:clientData/>
  </xdr:twoCellAnchor>
  <xdr:twoCellAnchor editAs="oneCell">
    <xdr:from>
      <xdr:col>0</xdr:col>
      <xdr:colOff>0</xdr:colOff>
      <xdr:row>40</xdr:row>
      <xdr:rowOff>0</xdr:rowOff>
    </xdr:from>
    <xdr:to>
      <xdr:col>7</xdr:col>
      <xdr:colOff>532800</xdr:colOff>
      <xdr:row>56</xdr:row>
      <xdr:rowOff>75867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477000"/>
          <a:ext cx="4800000" cy="2666667"/>
        </a:xfrm>
        <a:prstGeom prst="rect">
          <a:avLst/>
        </a:prstGeom>
      </xdr:spPr>
    </xdr:pic>
    <xdr:clientData/>
  </xdr:twoCellAnchor>
  <xdr:twoCellAnchor editAs="oneCell">
    <xdr:from>
      <xdr:col>0</xdr:col>
      <xdr:colOff>0</xdr:colOff>
      <xdr:row>76</xdr:row>
      <xdr:rowOff>0</xdr:rowOff>
    </xdr:from>
    <xdr:to>
      <xdr:col>4</xdr:col>
      <xdr:colOff>428267</xdr:colOff>
      <xdr:row>91</xdr:row>
      <xdr:rowOff>18744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306300"/>
          <a:ext cx="2866667" cy="2447619"/>
        </a:xfrm>
        <a:prstGeom prst="rect">
          <a:avLst/>
        </a:prstGeom>
      </xdr:spPr>
    </xdr:pic>
    <xdr:clientData/>
  </xdr:twoCellAnchor>
  <xdr:twoCellAnchor editAs="oneCell">
    <xdr:from>
      <xdr:col>4</xdr:col>
      <xdr:colOff>457200</xdr:colOff>
      <xdr:row>56</xdr:row>
      <xdr:rowOff>142875</xdr:rowOff>
    </xdr:from>
    <xdr:to>
      <xdr:col>9</xdr:col>
      <xdr:colOff>504438</xdr:colOff>
      <xdr:row>72</xdr:row>
      <xdr:rowOff>161599</xdr:rowOff>
    </xdr:to>
    <xdr:pic>
      <xdr:nvPicPr>
        <xdr:cNvPr id="6" name="Picture 5"/>
        <xdr:cNvPicPr>
          <a:picLocks noChangeAspect="1"/>
        </xdr:cNvPicPr>
      </xdr:nvPicPr>
      <xdr:blipFill>
        <a:blip xmlns:r="http://schemas.openxmlformats.org/officeDocument/2006/relationships" r:embed="rId5"/>
        <a:stretch>
          <a:fillRect/>
        </a:stretch>
      </xdr:blipFill>
      <xdr:spPr>
        <a:xfrm>
          <a:off x="2895600" y="9210675"/>
          <a:ext cx="3095238" cy="26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6</xdr:col>
      <xdr:colOff>285750</xdr:colOff>
      <xdr:row>10</xdr:row>
      <xdr:rowOff>19865</xdr:rowOff>
    </xdr:to>
    <xdr:pic>
      <xdr:nvPicPr>
        <xdr:cNvPr id="2" name="Picture 1"/>
        <xdr:cNvPicPr>
          <a:picLocks noChangeAspect="1"/>
        </xdr:cNvPicPr>
      </xdr:nvPicPr>
      <xdr:blipFill>
        <a:blip xmlns:r="http://schemas.openxmlformats.org/officeDocument/2006/relationships" r:embed="rId1"/>
        <a:stretch>
          <a:fillRect/>
        </a:stretch>
      </xdr:blipFill>
      <xdr:spPr>
        <a:xfrm>
          <a:off x="19050" y="180975"/>
          <a:ext cx="3924300" cy="1458140"/>
        </a:xfrm>
        <a:prstGeom prst="rect">
          <a:avLst/>
        </a:prstGeom>
      </xdr:spPr>
    </xdr:pic>
    <xdr:clientData/>
  </xdr:twoCellAnchor>
  <xdr:twoCellAnchor editAs="oneCell">
    <xdr:from>
      <xdr:col>0</xdr:col>
      <xdr:colOff>0</xdr:colOff>
      <xdr:row>11</xdr:row>
      <xdr:rowOff>0</xdr:rowOff>
    </xdr:from>
    <xdr:to>
      <xdr:col>10</xdr:col>
      <xdr:colOff>608762</xdr:colOff>
      <xdr:row>43</xdr:row>
      <xdr:rowOff>66019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781175"/>
          <a:ext cx="6704762" cy="52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47238</xdr:colOff>
      <xdr:row>10</xdr:row>
      <xdr:rowOff>28389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61925"/>
          <a:ext cx="3095238" cy="1485714"/>
        </a:xfrm>
        <a:prstGeom prst="rect">
          <a:avLst/>
        </a:prstGeom>
      </xdr:spPr>
    </xdr:pic>
    <xdr:clientData/>
  </xdr:twoCellAnchor>
  <xdr:twoCellAnchor editAs="oneCell">
    <xdr:from>
      <xdr:col>0</xdr:col>
      <xdr:colOff>0</xdr:colOff>
      <xdr:row>10</xdr:row>
      <xdr:rowOff>0</xdr:rowOff>
    </xdr:from>
    <xdr:to>
      <xdr:col>4</xdr:col>
      <xdr:colOff>609219</xdr:colOff>
      <xdr:row>13</xdr:row>
      <xdr:rowOff>142796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619250"/>
          <a:ext cx="3047619" cy="628571"/>
        </a:xfrm>
        <a:prstGeom prst="rect">
          <a:avLst/>
        </a:prstGeom>
      </xdr:spPr>
    </xdr:pic>
    <xdr:clientData/>
  </xdr:twoCellAnchor>
  <xdr:twoCellAnchor editAs="oneCell">
    <xdr:from>
      <xdr:col>0</xdr:col>
      <xdr:colOff>0</xdr:colOff>
      <xdr:row>15</xdr:row>
      <xdr:rowOff>0</xdr:rowOff>
    </xdr:from>
    <xdr:to>
      <xdr:col>5</xdr:col>
      <xdr:colOff>190095</xdr:colOff>
      <xdr:row>22</xdr:row>
      <xdr:rowOff>85573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2428875"/>
          <a:ext cx="3238095" cy="1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417981</xdr:colOff>
      <xdr:row>40</xdr:row>
      <xdr:rowOff>65857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952381" cy="6542857"/>
        </a:xfrm>
        <a:prstGeom prst="rect">
          <a:avLst/>
        </a:prstGeom>
      </xdr:spPr>
    </xdr:pic>
    <xdr:clientData/>
  </xdr:twoCellAnchor>
  <xdr:twoCellAnchor editAs="oneCell">
    <xdr:from>
      <xdr:col>0</xdr:col>
      <xdr:colOff>0</xdr:colOff>
      <xdr:row>41</xdr:row>
      <xdr:rowOff>0</xdr:rowOff>
    </xdr:from>
    <xdr:to>
      <xdr:col>14</xdr:col>
      <xdr:colOff>398933</xdr:colOff>
      <xdr:row>81</xdr:row>
      <xdr:rowOff>37286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638925"/>
          <a:ext cx="8933333" cy="6514286"/>
        </a:xfrm>
        <a:prstGeom prst="rect">
          <a:avLst/>
        </a:prstGeom>
      </xdr:spPr>
    </xdr:pic>
    <xdr:clientData/>
  </xdr:twoCellAnchor>
  <xdr:twoCellAnchor editAs="oneCell">
    <xdr:from>
      <xdr:col>0</xdr:col>
      <xdr:colOff>0</xdr:colOff>
      <xdr:row>82</xdr:row>
      <xdr:rowOff>0</xdr:rowOff>
    </xdr:from>
    <xdr:to>
      <xdr:col>14</xdr:col>
      <xdr:colOff>351314</xdr:colOff>
      <xdr:row>122</xdr:row>
      <xdr:rowOff>46809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3277850"/>
          <a:ext cx="8885714" cy="6523809"/>
        </a:xfrm>
        <a:prstGeom prst="rect">
          <a:avLst/>
        </a:prstGeom>
      </xdr:spPr>
    </xdr:pic>
    <xdr:clientData/>
  </xdr:twoCellAnchor>
  <xdr:twoCellAnchor editAs="oneCell">
    <xdr:from>
      <xdr:col>0</xdr:col>
      <xdr:colOff>0</xdr:colOff>
      <xdr:row>123</xdr:row>
      <xdr:rowOff>0</xdr:rowOff>
    </xdr:from>
    <xdr:to>
      <xdr:col>14</xdr:col>
      <xdr:colOff>408457</xdr:colOff>
      <xdr:row>163</xdr:row>
      <xdr:rowOff>75381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916775"/>
          <a:ext cx="8942857" cy="6552381"/>
        </a:xfrm>
        <a:prstGeom prst="rect">
          <a:avLst/>
        </a:prstGeom>
      </xdr:spPr>
    </xdr:pic>
    <xdr:clientData/>
  </xdr:twoCellAnchor>
  <xdr:twoCellAnchor editAs="oneCell">
    <xdr:from>
      <xdr:col>0</xdr:col>
      <xdr:colOff>0</xdr:colOff>
      <xdr:row>164</xdr:row>
      <xdr:rowOff>0</xdr:rowOff>
    </xdr:from>
    <xdr:to>
      <xdr:col>14</xdr:col>
      <xdr:colOff>408457</xdr:colOff>
      <xdr:row>204</xdr:row>
      <xdr:rowOff>84905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6555700"/>
          <a:ext cx="8942857" cy="6561905"/>
        </a:xfrm>
        <a:prstGeom prst="rect">
          <a:avLst/>
        </a:prstGeom>
      </xdr:spPr>
    </xdr:pic>
    <xdr:clientData/>
  </xdr:twoCellAnchor>
  <xdr:twoCellAnchor editAs="oneCell">
    <xdr:from>
      <xdr:col>0</xdr:col>
      <xdr:colOff>0</xdr:colOff>
      <xdr:row>205</xdr:row>
      <xdr:rowOff>0</xdr:rowOff>
    </xdr:from>
    <xdr:to>
      <xdr:col>14</xdr:col>
      <xdr:colOff>427505</xdr:colOff>
      <xdr:row>245</xdr:row>
      <xdr:rowOff>113476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33194625"/>
          <a:ext cx="8961905" cy="6590476"/>
        </a:xfrm>
        <a:prstGeom prst="rect">
          <a:avLst/>
        </a:prstGeom>
      </xdr:spPr>
    </xdr:pic>
    <xdr:clientData/>
  </xdr:twoCellAnchor>
  <xdr:twoCellAnchor editAs="oneCell">
    <xdr:from>
      <xdr:col>0</xdr:col>
      <xdr:colOff>0</xdr:colOff>
      <xdr:row>246</xdr:row>
      <xdr:rowOff>0</xdr:rowOff>
    </xdr:from>
    <xdr:to>
      <xdr:col>14</xdr:col>
      <xdr:colOff>427505</xdr:colOff>
      <xdr:row>286</xdr:row>
      <xdr:rowOff>56333</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39833550"/>
          <a:ext cx="8961905" cy="65333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ENG\1199%20-%20215%20N%2010\10%20-%20Calculations%20-%20By%20Design%20Element\2%20Foundation%20Design\2%20-%20DD\Pile%20Caps\Pile%20Cap%20Design_YL-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Pile Cap Bending &amp; Shear Check"/>
      <sheetName val="9 PILE GROUP"/>
      <sheetName val="8 PILE GROUP"/>
      <sheetName val="7 PILE GROUP"/>
      <sheetName val="6 PILE GROUP"/>
      <sheetName val="5 PILE GROUP"/>
      <sheetName val="Derivation"/>
      <sheetName val="CRSI MANUAL"/>
      <sheetName val="3 PILE GROUP"/>
      <sheetName val="4 PILE GROUP"/>
      <sheetName val="Sheet1"/>
    </sheetNames>
    <sheetDataSet>
      <sheetData sheetId="0"/>
      <sheetData sheetId="1">
        <row r="8">
          <cell r="K8" t="str">
            <v>#4</v>
          </cell>
        </row>
        <row r="9">
          <cell r="K9" t="str">
            <v>#5</v>
          </cell>
        </row>
        <row r="10">
          <cell r="K10" t="str">
            <v>#6</v>
          </cell>
        </row>
        <row r="11">
          <cell r="K11" t="str">
            <v>#7</v>
          </cell>
        </row>
        <row r="12">
          <cell r="K12" t="str">
            <v>#8</v>
          </cell>
        </row>
        <row r="13">
          <cell r="K13" t="str">
            <v>#9</v>
          </cell>
        </row>
        <row r="14">
          <cell r="K14" t="str">
            <v>#10</v>
          </cell>
        </row>
        <row r="15">
          <cell r="K15" t="str">
            <v>#11</v>
          </cell>
        </row>
      </sheetData>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id="3" name="P_8" displayName="P_8" ref="AA48:AB73" totalsRowShown="0" dataDxfId="97">
  <autoFilter ref="AA48:AB73"/>
  <tableColumns count="2">
    <tableColumn id="1" name="Column1" dataDxfId="96"/>
    <tableColumn id="2" name="Column2" dataDxfId="95"/>
  </tableColumns>
  <tableStyleInfo name="TableStyleMedium2" showFirstColumn="0" showLastColumn="0" showRowStripes="1" showColumnStripes="0"/>
</table>
</file>

<file path=xl/tables/table2.xml><?xml version="1.0" encoding="utf-8"?>
<table xmlns="http://schemas.openxmlformats.org/spreadsheetml/2006/main" id="6" name="npTable" displayName="npTable" ref="M48:N72" totalsRowShown="0" headerRowDxfId="94" dataDxfId="93">
  <autoFilter ref="M48:N72"/>
  <tableColumns count="2">
    <tableColumn id="1" name="npChoices" dataDxfId="92"/>
    <tableColumn id="2" name="npNames" dataDxfId="91"/>
  </tableColumns>
  <tableStyleInfo name="TableStyleMedium2" showFirstColumn="0" showLastColumn="0" showRowStripes="1" showColumnStripes="0"/>
</table>
</file>

<file path=xl/tables/table3.xml><?xml version="1.0" encoding="utf-8"?>
<table xmlns="http://schemas.openxmlformats.org/spreadsheetml/2006/main" id="8" name="P_2" displayName="P_2" ref="O48:P73" totalsRowShown="0" headerRowDxfId="90" dataDxfId="89">
  <autoFilter ref="O48:P73"/>
  <tableColumns count="2">
    <tableColumn id="1" name="Column1" dataDxfId="88">
      <calculatedColumnFormula>x0-L</calculatedColumnFormula>
    </tableColumn>
    <tableColumn id="2" name="Column2" dataDxfId="87">
      <calculatedColumnFormula>y0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11" name="P_3" displayName="P_3" ref="Q48:R73" totalsRowShown="0" headerRowDxfId="86" dataDxfId="85">
  <autoFilter ref="Q48:R73"/>
  <tableColumns count="2">
    <tableColumn id="1" name="Column1" dataDxfId="84">
      <calculatedColumnFormula>x0-L</calculatedColumnFormula>
    </tableColumn>
    <tableColumn id="2" name="Column2" dataDxfId="83">
      <calculatedColumnFormula>y0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12" name="P_4" displayName="P_4" ref="S48:T73" totalsRowShown="0" headerRowDxfId="82" dataDxfId="81">
  <autoFilter ref="S48:T73"/>
  <tableColumns count="2">
    <tableColumn id="1" name="Column1" dataDxfId="80">
      <calculatedColumnFormula>(x0-L)/2</calculatedColumnFormula>
    </tableColumn>
    <tableColumn id="2" name="Column2" dataDxfId="79">
      <calculatedColumnFormula>(y0-L)/2</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13" name="P_5" displayName="P_5" ref="U48:V73" totalsRowShown="0" headerRowDxfId="78" dataDxfId="77">
  <autoFilter ref="U48:V73"/>
  <tableColumns count="2">
    <tableColumn id="1" name="Column1" dataDxfId="76">
      <calculatedColumnFormula>x0-L</calculatedColumnFormula>
    </tableColumn>
    <tableColumn id="2" name="Column2" dataDxfId="75">
      <calculatedColumnFormula>y0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15" name="P_6" displayName="P_6" ref="W48:X73" totalsRowShown="0" headerRowDxfId="74" dataDxfId="73">
  <autoFilter ref="W48:X73"/>
  <tableColumns count="2">
    <tableColumn id="1" name="Column1" dataDxfId="72">
      <calculatedColumnFormula>(x0-L)/2</calculatedColumnFormula>
    </tableColumn>
    <tableColumn id="2" name="Column2" dataDxfId="71">
      <calculatedColumnFormula>(y0-L)/2</calculatedColumnFormula>
    </tableColumn>
  </tableColumns>
  <tableStyleInfo name="TableStyleMedium2" showFirstColumn="0" showLastColumn="0" showRowStripes="1" showColumnStripes="0"/>
</table>
</file>

<file path=xl/tables/table8.xml><?xml version="1.0" encoding="utf-8"?>
<table xmlns="http://schemas.openxmlformats.org/spreadsheetml/2006/main" id="16" name="P_7" displayName="P_7" ref="Y48:Z73" totalsRowShown="0" headerRowDxfId="70" dataDxfId="69">
  <autoFilter ref="Y48:Z73"/>
  <tableColumns count="2">
    <tableColumn id="1" name="Column1" dataDxfId="68">
      <calculatedColumnFormula>x0-L/2</calculatedColumnFormula>
    </tableColumn>
    <tableColumn id="2" name="Column2" dataDxfId="67">
      <calculatedColumnFormula>y0-L/2*TAN(RADIANS(60))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id="17" name="P_9" displayName="P_9" ref="AC48:AD73" totalsRowShown="0" headerRowDxfId="66" dataDxfId="65">
  <autoFilter ref="AC48:AD73"/>
  <tableColumns count="2">
    <tableColumn id="1" name="Column1" dataDxfId="64">
      <calculatedColumnFormula>(x0-L)/2</calculatedColumnFormula>
    </tableColumn>
    <tableColumn id="2" name="Column2" dataDxfId="63">
      <calculatedColumnFormula>(y0-L)/2</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8" name="P_10" displayName="P_10" ref="AE48:AF73" totalsRowShown="0" dataDxfId="62">
  <autoFilter ref="AE48:AF73"/>
  <tableColumns count="2">
    <tableColumn id="1" name="Column1" dataDxfId="61"/>
    <tableColumn id="2" name="Column2" dataDxfId="60"/>
  </tableColumns>
  <tableStyleInfo name="TableStyleMedium2" showFirstColumn="0" showLastColumn="0" showRowStripes="1" showColumnStripes="0"/>
</table>
</file>

<file path=xl/tables/table11.xml><?xml version="1.0" encoding="utf-8"?>
<table xmlns="http://schemas.openxmlformats.org/spreadsheetml/2006/main" id="19" name="P_11" displayName="P_11" ref="AG48:AH73" totalsRowShown="0" headerRowDxfId="59" dataDxfId="58">
  <autoFilter ref="AG48:AH73"/>
  <tableColumns count="2">
    <tableColumn id="1" name="Column1" dataDxfId="57">
      <calculatedColumnFormula>x0-L/2</calculatedColumnFormula>
    </tableColumn>
    <tableColumn id="2" name="Column2" dataDxfId="56">
      <calculatedColumnFormula>y0-L/2*TAN(RADIANS(60))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id="20" name="P_12" displayName="P_12" ref="AI48:AJ73" totalsRowShown="0" headerRowDxfId="55" dataDxfId="54">
  <autoFilter ref="AI48:AJ73"/>
  <tableColumns count="2">
    <tableColumn id="1" name="Column1" dataDxfId="53">
      <calculatedColumnFormula>(x0-L)/2</calculatedColumnFormula>
    </tableColumn>
    <tableColumn id="2" name="Column2" dataDxfId="52">
      <calculatedColumnFormula>(y0-L)/2</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21" name="P_13" displayName="P_13" ref="AK48:AL73" totalsRowShown="0" headerRowDxfId="51" dataDxfId="50">
  <autoFilter ref="AK48:AL73"/>
  <tableColumns count="2">
    <tableColumn id="1" name="Column1" dataDxfId="49">
      <calculatedColumnFormula>x0-L/2</calculatedColumnFormula>
    </tableColumn>
    <tableColumn id="2" name="Column2" dataDxfId="48">
      <calculatedColumnFormula>y0-L/2*TAN(RADIANS(60))</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id="22" name="P_14" displayName="P_14" ref="AM48:AN73" totalsRowShown="0" headerRowDxfId="47" dataDxfId="46">
  <autoFilter ref="AM48:AN73"/>
  <tableColumns count="2">
    <tableColumn id="1" name="Column1" dataDxfId="45">
      <calculatedColumnFormula>(x0-L)/2</calculatedColumnFormula>
    </tableColumn>
    <tableColumn id="2" name="Column2" dataDxfId="44">
      <calculatedColumnFormula>(y0-L)/2</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id="23" name="P_15" displayName="P_15" ref="AO48:AP73" totalsRowShown="0" headerRowDxfId="43" dataDxfId="42">
  <autoFilter ref="AO48:AP73"/>
  <tableColumns count="2">
    <tableColumn id="1" name="Column1" dataDxfId="41">
      <calculatedColumnFormula>x0-L/2</calculatedColumnFormula>
    </tableColumn>
    <tableColumn id="2" name="Column2" dataDxfId="40">
      <calculatedColumnFormula>y0-L/2*TAN(RADIANS(60))</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id="24" name="P_16" displayName="P_16" ref="AQ48:AR73" totalsRowShown="0" headerRowDxfId="39" dataDxfId="38">
  <autoFilter ref="AQ48:AR73"/>
  <tableColumns count="2">
    <tableColumn id="1" name="Column1" dataDxfId="37">
      <calculatedColumnFormula>(x0-L)/2</calculatedColumnFormula>
    </tableColumn>
    <tableColumn id="2" name="Column2" dataDxfId="36">
      <calculatedColumnFormula>(y0-L)/2</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id="25" name="P_17" displayName="P_17" ref="AS48:AT73" totalsRowShown="0" headerRowDxfId="35" dataDxfId="34">
  <autoFilter ref="AS48:AT73"/>
  <tableColumns count="2">
    <tableColumn id="1" name="Column1" dataDxfId="33">
      <calculatedColumnFormula>x0-L/2</calculatedColumnFormula>
    </tableColumn>
    <tableColumn id="2" name="Column2" dataDxfId="32">
      <calculatedColumnFormula>y0-L/2*TAN(RADIANS(60))</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id="1" name="P_18" displayName="P_18" ref="AU48:AV73" totalsRowShown="0" headerRowDxfId="31" dataDxfId="30">
  <autoFilter ref="AU48:AV73"/>
  <tableColumns count="2">
    <tableColumn id="1" name="Column1" dataDxfId="29">
      <calculatedColumnFormula>(x0-L)/2</calculatedColumnFormula>
    </tableColumn>
    <tableColumn id="2" name="Column2" dataDxfId="28">
      <calculatedColumnFormula>(y0-L)/2</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id="2" name="P_19" displayName="P_19" ref="AW48:AX73" totalsRowShown="0" headerRowDxfId="27" dataDxfId="26">
  <autoFilter ref="AW48:AX73"/>
  <tableColumns count="2">
    <tableColumn id="1" name="Column1" dataDxfId="25">
      <calculatedColumnFormula>(x0-L)/2</calculatedColumnFormula>
    </tableColumn>
    <tableColumn id="2" name="Column2" dataDxfId="24">
      <calculatedColumnFormula>(y0-L)/2</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id="4" name="P_20" displayName="P_20" ref="AY48:AZ73" totalsRowShown="0" headerRowDxfId="23" dataDxfId="22">
  <autoFilter ref="AY48:AZ73"/>
  <tableColumns count="2">
    <tableColumn id="1" name="Column1" dataDxfId="21">
      <calculatedColumnFormula>(x0-L)/2</calculatedColumnFormula>
    </tableColumn>
    <tableColumn id="2" name="Column2" dataDxfId="20">
      <calculatedColumnFormula>(y0-L)/2</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id="5" name="P_21" displayName="P_21" ref="BA48:BB73" totalsRowShown="0" headerRowDxfId="19" dataDxfId="18">
  <autoFilter ref="BA48:BB73"/>
  <tableColumns count="2">
    <tableColumn id="1" name="Column1" dataDxfId="17">
      <calculatedColumnFormula>(x0-L)/2</calculatedColumnFormula>
    </tableColumn>
    <tableColumn id="2" name="Column2" dataDxfId="16">
      <calculatedColumnFormula>(y0-L)/2</calculatedColumnFormula>
    </tableColumn>
  </tableColumns>
  <tableStyleInfo name="TableStyleMedium2" showFirstColumn="0" showLastColumn="0" showRowStripes="1" showColumnStripes="0"/>
</table>
</file>

<file path=xl/tables/table22.xml><?xml version="1.0" encoding="utf-8"?>
<table xmlns="http://schemas.openxmlformats.org/spreadsheetml/2006/main" id="7" name="P_22" displayName="P_22" ref="BC48:BD73" totalsRowShown="0" dataDxfId="15">
  <autoFilter ref="BC48:BD73"/>
  <tableColumns count="2">
    <tableColumn id="1" name="Column1" dataDxfId="14"/>
    <tableColumn id="2" name="Column2" dataDxfId="13"/>
  </tableColumns>
  <tableStyleInfo name="TableStyleMedium2" showFirstColumn="0" showLastColumn="0" showRowStripes="1" showColumnStripes="0"/>
</table>
</file>

<file path=xl/tables/table23.xml><?xml version="1.0" encoding="utf-8"?>
<table xmlns="http://schemas.openxmlformats.org/spreadsheetml/2006/main" id="10" name="P_23" displayName="P_23" ref="BE48:BF73" totalsRowShown="0" headerRowDxfId="12" dataDxfId="11">
  <autoFilter ref="BE48:BF73"/>
  <tableColumns count="2">
    <tableColumn id="1" name="Column1" dataDxfId="10">
      <calculatedColumnFormula>(x0-L)/2</calculatedColumnFormula>
    </tableColumn>
    <tableColumn id="2" name="Column2" dataDxfId="9">
      <calculatedColumnFormula>(y0-L)/2</calculatedColumnFormula>
    </tableColumn>
  </tableColumns>
  <tableStyleInfo name="TableStyleMedium2" showFirstColumn="0" showLastColumn="0" showRowStripes="1" showColumnStripes="0"/>
</table>
</file>

<file path=xl/tables/table24.xml><?xml version="1.0" encoding="utf-8"?>
<table xmlns="http://schemas.openxmlformats.org/spreadsheetml/2006/main" id="14" name="P_24" displayName="P_24" ref="BG48:BH73" totalsRowShown="0" dataDxfId="8">
  <autoFilter ref="BG48:BH73"/>
  <tableColumns count="2">
    <tableColumn id="1" name="Column1" dataDxfId="7"/>
    <tableColumn id="2" name="Column2" dataDxfId="6"/>
  </tableColumns>
  <tableStyleInfo name="TableStyleMedium2" showFirstColumn="0" showLastColumn="0" showRowStripes="1" showColumnStripes="0"/>
</table>
</file>

<file path=xl/tables/table25.xml><?xml version="1.0" encoding="utf-8"?>
<table xmlns="http://schemas.openxmlformats.org/spreadsheetml/2006/main" id="26" name="P_25" displayName="P_25" ref="BI48:BJ73" totalsRowShown="0" dataDxfId="5">
  <autoFilter ref="BI48:BJ73"/>
  <tableColumns count="2">
    <tableColumn id="1" name="Column1" dataDxfId="4"/>
    <tableColumn id="2" name="Column2"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5.xml"/><Relationship Id="rId13" Type="http://schemas.openxmlformats.org/officeDocument/2006/relationships/table" Target="../tables/table10.xml"/><Relationship Id="rId18" Type="http://schemas.openxmlformats.org/officeDocument/2006/relationships/table" Target="../tables/table15.xml"/><Relationship Id="rId26" Type="http://schemas.openxmlformats.org/officeDocument/2006/relationships/table" Target="../tables/table23.xml"/><Relationship Id="rId3" Type="http://schemas.openxmlformats.org/officeDocument/2006/relationships/vmlDrawing" Target="../drawings/vmlDrawing1.vml"/><Relationship Id="rId21" Type="http://schemas.openxmlformats.org/officeDocument/2006/relationships/table" Target="../tables/table18.xml"/><Relationship Id="rId7" Type="http://schemas.openxmlformats.org/officeDocument/2006/relationships/table" Target="../tables/table4.xml"/><Relationship Id="rId12" Type="http://schemas.openxmlformats.org/officeDocument/2006/relationships/table" Target="../tables/table9.xml"/><Relationship Id="rId17" Type="http://schemas.openxmlformats.org/officeDocument/2006/relationships/table" Target="../tables/table14.xml"/><Relationship Id="rId25" Type="http://schemas.openxmlformats.org/officeDocument/2006/relationships/table" Target="../tables/table22.xml"/><Relationship Id="rId2" Type="http://schemas.openxmlformats.org/officeDocument/2006/relationships/drawing" Target="../drawings/drawing1.xml"/><Relationship Id="rId16" Type="http://schemas.openxmlformats.org/officeDocument/2006/relationships/table" Target="../tables/table13.xml"/><Relationship Id="rId20" Type="http://schemas.openxmlformats.org/officeDocument/2006/relationships/table" Target="../tables/table17.xml"/><Relationship Id="rId29" Type="http://schemas.openxmlformats.org/officeDocument/2006/relationships/comments" Target="../comments1.xml"/><Relationship Id="rId1" Type="http://schemas.openxmlformats.org/officeDocument/2006/relationships/printerSettings" Target="../printerSettings/printerSettings2.bin"/><Relationship Id="rId6" Type="http://schemas.openxmlformats.org/officeDocument/2006/relationships/table" Target="../tables/table3.xml"/><Relationship Id="rId11" Type="http://schemas.openxmlformats.org/officeDocument/2006/relationships/table" Target="../tables/table8.xml"/><Relationship Id="rId24" Type="http://schemas.openxmlformats.org/officeDocument/2006/relationships/table" Target="../tables/table21.xml"/><Relationship Id="rId5" Type="http://schemas.openxmlformats.org/officeDocument/2006/relationships/table" Target="../tables/table2.xml"/><Relationship Id="rId15" Type="http://schemas.openxmlformats.org/officeDocument/2006/relationships/table" Target="../tables/table12.xml"/><Relationship Id="rId23" Type="http://schemas.openxmlformats.org/officeDocument/2006/relationships/table" Target="../tables/table20.xml"/><Relationship Id="rId28" Type="http://schemas.openxmlformats.org/officeDocument/2006/relationships/table" Target="../tables/table25.xml"/><Relationship Id="rId10" Type="http://schemas.openxmlformats.org/officeDocument/2006/relationships/table" Target="../tables/table7.xml"/><Relationship Id="rId19" Type="http://schemas.openxmlformats.org/officeDocument/2006/relationships/table" Target="../tables/table16.xml"/><Relationship Id="rId4" Type="http://schemas.openxmlformats.org/officeDocument/2006/relationships/table" Target="../tables/table1.xml"/><Relationship Id="rId9" Type="http://schemas.openxmlformats.org/officeDocument/2006/relationships/table" Target="../tables/table6.xml"/><Relationship Id="rId14" Type="http://schemas.openxmlformats.org/officeDocument/2006/relationships/table" Target="../tables/table11.xml"/><Relationship Id="rId22" Type="http://schemas.openxmlformats.org/officeDocument/2006/relationships/table" Target="../tables/table19.xml"/><Relationship Id="rId27" Type="http://schemas.openxmlformats.org/officeDocument/2006/relationships/table" Target="../tables/table2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Q186"/>
  <sheetViews>
    <sheetView topLeftCell="A34" zoomScaleNormal="100" workbookViewId="0">
      <selection activeCell="C31" sqref="C31"/>
    </sheetView>
  </sheetViews>
  <sheetFormatPr defaultRowHeight="12.75" x14ac:dyDescent="0.2"/>
  <cols>
    <col min="1" max="1" width="4.5703125" style="268" customWidth="1"/>
    <col min="2" max="2" width="4.5703125" style="119" customWidth="1"/>
    <col min="3" max="3" width="65" style="116" customWidth="1"/>
    <col min="4" max="27" width="9.140625" style="271"/>
    <col min="28" max="16384" width="9.140625" style="114"/>
  </cols>
  <sheetData>
    <row r="1" spans="1:43" x14ac:dyDescent="0.2">
      <c r="A1" s="384" t="s">
        <v>193</v>
      </c>
      <c r="B1" s="384"/>
      <c r="C1" s="385"/>
      <c r="D1" s="305"/>
      <c r="E1" s="305"/>
      <c r="F1" s="305"/>
      <c r="G1" s="305"/>
      <c r="H1" s="305"/>
      <c r="I1" s="305"/>
      <c r="J1" s="305"/>
      <c r="K1" s="305"/>
      <c r="L1" s="305"/>
      <c r="M1" s="305"/>
    </row>
    <row r="2" spans="1:43" ht="26.25" customHeight="1" x14ac:dyDescent="0.2">
      <c r="B2" s="375" t="s">
        <v>187</v>
      </c>
      <c r="C2" s="376"/>
    </row>
    <row r="3" spans="1:43" x14ac:dyDescent="0.2">
      <c r="A3" s="266"/>
      <c r="B3" s="386"/>
      <c r="C3" s="387"/>
    </row>
    <row r="4" spans="1:43" s="115" customFormat="1" x14ac:dyDescent="0.2">
      <c r="A4" s="384" t="s">
        <v>194</v>
      </c>
      <c r="B4" s="384"/>
      <c r="C4" s="385"/>
      <c r="D4" s="305"/>
      <c r="E4" s="305"/>
      <c r="F4" s="305"/>
      <c r="G4" s="305"/>
      <c r="H4" s="305"/>
      <c r="I4" s="305"/>
      <c r="J4" s="305"/>
      <c r="K4" s="305"/>
      <c r="L4" s="305"/>
      <c r="M4" s="305"/>
      <c r="O4" s="271"/>
      <c r="P4" s="271"/>
      <c r="Q4" s="271"/>
      <c r="R4" s="271"/>
      <c r="S4" s="271"/>
      <c r="T4" s="271"/>
      <c r="U4" s="271"/>
      <c r="V4" s="271"/>
      <c r="W4" s="271"/>
      <c r="X4" s="271"/>
      <c r="Y4" s="271"/>
      <c r="Z4" s="271"/>
      <c r="AA4" s="271"/>
      <c r="AB4" s="114"/>
      <c r="AC4" s="114"/>
      <c r="AD4" s="114"/>
      <c r="AE4" s="114"/>
      <c r="AF4" s="114"/>
      <c r="AG4" s="114"/>
      <c r="AH4" s="114"/>
      <c r="AI4" s="114"/>
      <c r="AJ4" s="114"/>
      <c r="AK4" s="114"/>
      <c r="AL4" s="114"/>
      <c r="AM4" s="114"/>
      <c r="AN4" s="114"/>
      <c r="AO4" s="114"/>
      <c r="AP4" s="114"/>
      <c r="AQ4" s="114"/>
    </row>
    <row r="5" spans="1:43" s="115" customFormat="1" ht="40.5" customHeight="1" x14ac:dyDescent="0.2">
      <c r="A5" s="123" t="s">
        <v>197</v>
      </c>
      <c r="B5" s="388" t="s">
        <v>296</v>
      </c>
      <c r="C5" s="389"/>
      <c r="O5" s="271"/>
      <c r="P5" s="271"/>
      <c r="Q5" s="271"/>
      <c r="R5" s="271"/>
      <c r="S5" s="271"/>
      <c r="T5" s="271"/>
      <c r="U5" s="271"/>
      <c r="V5" s="271"/>
      <c r="W5" s="271"/>
      <c r="X5" s="271"/>
      <c r="Y5" s="271"/>
      <c r="Z5" s="271"/>
      <c r="AA5" s="271"/>
      <c r="AB5" s="114"/>
      <c r="AC5" s="114"/>
      <c r="AD5" s="114"/>
      <c r="AE5" s="114"/>
      <c r="AF5" s="114"/>
      <c r="AG5" s="114"/>
      <c r="AH5" s="114"/>
      <c r="AI5" s="114"/>
      <c r="AJ5" s="114"/>
      <c r="AK5" s="114"/>
      <c r="AL5" s="114"/>
      <c r="AM5" s="114"/>
      <c r="AN5" s="114"/>
      <c r="AO5" s="114"/>
      <c r="AP5" s="114"/>
      <c r="AQ5" s="114"/>
    </row>
    <row r="6" spans="1:43" s="115" customFormat="1" ht="27.75" customHeight="1" x14ac:dyDescent="0.2">
      <c r="A6" s="123" t="s">
        <v>198</v>
      </c>
      <c r="B6" s="388" t="s">
        <v>285</v>
      </c>
      <c r="C6" s="389"/>
      <c r="O6" s="271"/>
      <c r="P6" s="271"/>
      <c r="Q6" s="271"/>
      <c r="R6" s="271"/>
      <c r="S6" s="271"/>
      <c r="T6" s="271"/>
      <c r="U6" s="271"/>
      <c r="V6" s="271"/>
      <c r="W6" s="271"/>
      <c r="X6" s="271"/>
      <c r="Y6" s="271"/>
      <c r="Z6" s="271"/>
      <c r="AA6" s="271"/>
      <c r="AB6" s="114"/>
      <c r="AC6" s="114"/>
      <c r="AD6" s="114"/>
      <c r="AE6" s="114"/>
      <c r="AF6" s="114"/>
      <c r="AG6" s="114"/>
      <c r="AH6" s="114"/>
      <c r="AI6" s="114"/>
      <c r="AJ6" s="114"/>
      <c r="AK6" s="114"/>
      <c r="AL6" s="114"/>
      <c r="AM6" s="114"/>
      <c r="AN6" s="114"/>
      <c r="AO6" s="114"/>
      <c r="AP6" s="114"/>
      <c r="AQ6" s="114"/>
    </row>
    <row r="7" spans="1:43" s="115" customFormat="1" ht="27" customHeight="1" x14ac:dyDescent="0.2">
      <c r="A7" s="265" t="s">
        <v>199</v>
      </c>
      <c r="B7" s="388" t="s">
        <v>286</v>
      </c>
      <c r="C7" s="389"/>
      <c r="O7" s="271"/>
      <c r="P7" s="271"/>
      <c r="Q7" s="271"/>
      <c r="R7" s="271"/>
      <c r="S7" s="271"/>
      <c r="T7" s="271"/>
      <c r="U7" s="271"/>
      <c r="V7" s="271"/>
      <c r="W7" s="271"/>
      <c r="X7" s="271"/>
      <c r="Y7" s="271"/>
      <c r="Z7" s="271"/>
      <c r="AA7" s="271"/>
      <c r="AB7" s="114"/>
      <c r="AC7" s="114"/>
      <c r="AD7" s="114"/>
      <c r="AE7" s="114"/>
      <c r="AF7" s="114"/>
      <c r="AG7" s="114"/>
      <c r="AH7" s="114"/>
      <c r="AI7" s="114"/>
      <c r="AJ7" s="114"/>
      <c r="AK7" s="114"/>
      <c r="AL7" s="114"/>
      <c r="AM7" s="114"/>
      <c r="AN7" s="114"/>
      <c r="AO7" s="114"/>
      <c r="AP7" s="114"/>
      <c r="AQ7" s="114"/>
    </row>
    <row r="8" spans="1:43" x14ac:dyDescent="0.2">
      <c r="A8" s="266"/>
      <c r="B8" s="121"/>
      <c r="C8" s="117"/>
    </row>
    <row r="9" spans="1:43" x14ac:dyDescent="0.2">
      <c r="A9" s="380" t="s">
        <v>195</v>
      </c>
      <c r="B9" s="380"/>
      <c r="C9" s="381"/>
    </row>
    <row r="10" spans="1:43" ht="39.75" customHeight="1" x14ac:dyDescent="0.2">
      <c r="A10" s="122" t="s">
        <v>197</v>
      </c>
      <c r="B10" s="377" t="s">
        <v>191</v>
      </c>
      <c r="C10" s="378"/>
    </row>
    <row r="11" spans="1:43" ht="26.25" customHeight="1" x14ac:dyDescent="0.2">
      <c r="A11" s="266" t="s">
        <v>198</v>
      </c>
      <c r="B11" s="377" t="s">
        <v>287</v>
      </c>
      <c r="C11" s="378"/>
    </row>
    <row r="12" spans="1:43" x14ac:dyDescent="0.2">
      <c r="A12" s="266"/>
      <c r="B12" s="121"/>
      <c r="C12" s="117"/>
    </row>
    <row r="13" spans="1:43" x14ac:dyDescent="0.2">
      <c r="A13" s="380" t="s">
        <v>196</v>
      </c>
      <c r="B13" s="380"/>
      <c r="C13" s="381"/>
    </row>
    <row r="14" spans="1:43" ht="54" customHeight="1" x14ac:dyDescent="0.2">
      <c r="A14" s="268" t="s">
        <v>197</v>
      </c>
      <c r="B14" s="377" t="s">
        <v>189</v>
      </c>
      <c r="C14" s="378"/>
    </row>
    <row r="15" spans="1:43" ht="41.25" customHeight="1" x14ac:dyDescent="0.2">
      <c r="A15" s="122" t="s">
        <v>198</v>
      </c>
      <c r="B15" s="377" t="s">
        <v>190</v>
      </c>
      <c r="C15" s="378"/>
    </row>
    <row r="16" spans="1:43" s="269" customFormat="1" x14ac:dyDescent="0.2">
      <c r="A16" s="266"/>
      <c r="B16" s="121"/>
      <c r="C16" s="118"/>
      <c r="D16" s="271"/>
      <c r="E16" s="271"/>
      <c r="F16" s="271"/>
      <c r="G16" s="271"/>
      <c r="H16" s="271"/>
      <c r="I16" s="271"/>
      <c r="J16" s="271"/>
      <c r="K16" s="271"/>
      <c r="L16" s="271"/>
      <c r="M16" s="271"/>
      <c r="N16" s="271"/>
      <c r="O16" s="271"/>
      <c r="P16" s="271"/>
      <c r="Q16" s="271"/>
      <c r="R16" s="271"/>
      <c r="S16" s="271"/>
      <c r="T16" s="271"/>
      <c r="U16" s="271"/>
      <c r="V16" s="271"/>
      <c r="W16" s="271"/>
      <c r="X16" s="271"/>
      <c r="Y16" s="271"/>
      <c r="Z16" s="271"/>
      <c r="AA16" s="271"/>
    </row>
    <row r="17" spans="1:27" x14ac:dyDescent="0.2">
      <c r="A17" s="382" t="s">
        <v>274</v>
      </c>
      <c r="B17" s="382"/>
      <c r="C17" s="383"/>
    </row>
    <row r="18" spans="1:27" s="269" customFormat="1" ht="51" customHeight="1" x14ac:dyDescent="0.2">
      <c r="A18" s="266" t="s">
        <v>197</v>
      </c>
      <c r="B18" s="373" t="s">
        <v>297</v>
      </c>
      <c r="C18" s="374"/>
      <c r="D18" s="271"/>
      <c r="E18" s="271"/>
      <c r="F18" s="271"/>
      <c r="G18" s="271"/>
      <c r="H18" s="271"/>
      <c r="I18" s="271"/>
      <c r="J18" s="271"/>
      <c r="K18" s="271"/>
      <c r="L18" s="271"/>
      <c r="M18" s="271"/>
      <c r="N18" s="271"/>
      <c r="O18" s="271"/>
      <c r="P18" s="271"/>
      <c r="Q18" s="271"/>
      <c r="R18" s="271"/>
      <c r="S18" s="271"/>
      <c r="T18" s="271"/>
      <c r="U18" s="271"/>
      <c r="V18" s="271"/>
      <c r="W18" s="271"/>
      <c r="X18" s="271"/>
      <c r="Y18" s="271"/>
      <c r="Z18" s="271"/>
      <c r="AA18" s="271"/>
    </row>
    <row r="19" spans="1:27" s="270" customFormat="1" x14ac:dyDescent="0.2">
      <c r="A19" s="267"/>
      <c r="B19" s="375" t="s">
        <v>260</v>
      </c>
      <c r="C19" s="376"/>
      <c r="D19" s="271"/>
      <c r="E19" s="271"/>
      <c r="F19" s="271"/>
      <c r="G19" s="271"/>
      <c r="H19" s="271"/>
      <c r="I19" s="271"/>
      <c r="J19" s="271"/>
      <c r="K19" s="271"/>
      <c r="L19" s="271"/>
      <c r="M19" s="271"/>
      <c r="N19" s="271"/>
      <c r="O19" s="271"/>
      <c r="P19" s="271"/>
      <c r="Q19" s="271"/>
      <c r="R19" s="271"/>
      <c r="S19" s="271"/>
      <c r="T19" s="271"/>
      <c r="U19" s="271"/>
      <c r="V19" s="271"/>
      <c r="W19" s="271"/>
      <c r="X19" s="271"/>
      <c r="Y19" s="271"/>
      <c r="Z19" s="271"/>
      <c r="AA19" s="271"/>
    </row>
    <row r="20" spans="1:27" s="270" customFormat="1" x14ac:dyDescent="0.2">
      <c r="A20" s="267" t="s">
        <v>261</v>
      </c>
      <c r="B20" s="369" t="s">
        <v>267</v>
      </c>
      <c r="C20" s="370"/>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row>
    <row r="21" spans="1:27" s="270" customFormat="1" ht="67.5" customHeight="1" x14ac:dyDescent="0.2">
      <c r="A21" s="267"/>
      <c r="B21" s="377" t="s">
        <v>298</v>
      </c>
      <c r="C21" s="378"/>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row>
    <row r="22" spans="1:27" s="270" customFormat="1" ht="26.25" customHeight="1" x14ac:dyDescent="0.2">
      <c r="A22" s="267"/>
      <c r="B22" s="375" t="s">
        <v>269</v>
      </c>
      <c r="C22" s="376"/>
      <c r="D22" s="271"/>
      <c r="E22" s="271"/>
      <c r="F22" s="271"/>
      <c r="G22" s="271"/>
      <c r="H22" s="271"/>
      <c r="I22" s="271"/>
      <c r="J22" s="271"/>
      <c r="K22" s="271"/>
      <c r="L22" s="271"/>
      <c r="M22" s="271"/>
      <c r="N22" s="271"/>
      <c r="O22" s="271"/>
      <c r="P22" s="271"/>
      <c r="Q22" s="271"/>
      <c r="R22" s="271"/>
      <c r="S22" s="271"/>
      <c r="T22" s="271"/>
      <c r="U22" s="271"/>
      <c r="V22" s="271"/>
      <c r="W22" s="271"/>
      <c r="X22" s="271"/>
      <c r="Y22" s="271"/>
      <c r="Z22" s="271"/>
      <c r="AA22" s="271"/>
    </row>
    <row r="23" spans="1:27" ht="39.75" customHeight="1" x14ac:dyDescent="0.2">
      <c r="B23" s="375" t="s">
        <v>288</v>
      </c>
      <c r="C23" s="379"/>
    </row>
    <row r="24" spans="1:27" ht="38.25" x14ac:dyDescent="0.2">
      <c r="C24" s="117" t="s">
        <v>289</v>
      </c>
    </row>
    <row r="25" spans="1:27" s="269" customFormat="1" x14ac:dyDescent="0.2">
      <c r="A25" s="266"/>
      <c r="B25" s="264"/>
      <c r="C25" s="120" t="s">
        <v>280</v>
      </c>
      <c r="D25" s="271"/>
      <c r="E25" s="271"/>
      <c r="F25" s="271"/>
      <c r="G25" s="271"/>
      <c r="H25" s="271"/>
      <c r="I25" s="271"/>
      <c r="J25" s="271"/>
      <c r="K25" s="271"/>
      <c r="L25" s="271"/>
      <c r="M25" s="271"/>
      <c r="N25" s="271"/>
      <c r="O25" s="271"/>
      <c r="P25" s="271"/>
      <c r="Q25" s="271"/>
      <c r="R25" s="271"/>
      <c r="S25" s="271"/>
      <c r="T25" s="271"/>
      <c r="U25" s="271"/>
      <c r="V25" s="271"/>
      <c r="W25" s="271"/>
      <c r="X25" s="271"/>
      <c r="Y25" s="271"/>
      <c r="Z25" s="271"/>
      <c r="AA25" s="271"/>
    </row>
    <row r="26" spans="1:27" x14ac:dyDescent="0.2">
      <c r="A26" s="268" t="s">
        <v>199</v>
      </c>
      <c r="B26" s="369" t="s">
        <v>266</v>
      </c>
      <c r="C26" s="370"/>
    </row>
    <row r="27" spans="1:27" ht="25.5" x14ac:dyDescent="0.2">
      <c r="C27" s="307" t="s">
        <v>268</v>
      </c>
    </row>
    <row r="28" spans="1:27" ht="63.75" customHeight="1" x14ac:dyDescent="0.2">
      <c r="A28" s="122" t="s">
        <v>270</v>
      </c>
      <c r="B28" s="371" t="s">
        <v>281</v>
      </c>
      <c r="C28" s="372"/>
    </row>
    <row r="29" spans="1:27" ht="63.75" customHeight="1" x14ac:dyDescent="0.2">
      <c r="B29" s="122" t="s">
        <v>197</v>
      </c>
      <c r="C29" s="277" t="s">
        <v>299</v>
      </c>
    </row>
    <row r="30" spans="1:27" ht="63.75" x14ac:dyDescent="0.2">
      <c r="B30" s="122" t="s">
        <v>261</v>
      </c>
      <c r="C30" s="263" t="s">
        <v>290</v>
      </c>
    </row>
    <row r="31" spans="1:27" ht="63.75" x14ac:dyDescent="0.2">
      <c r="B31" s="122"/>
      <c r="C31" s="117" t="s">
        <v>291</v>
      </c>
    </row>
    <row r="32" spans="1:27" ht="25.5" x14ac:dyDescent="0.2">
      <c r="B32" s="122" t="s">
        <v>199</v>
      </c>
      <c r="C32" s="263" t="s">
        <v>282</v>
      </c>
    </row>
    <row r="33" spans="1:3" ht="25.5" x14ac:dyDescent="0.2">
      <c r="B33" s="122" t="s">
        <v>262</v>
      </c>
      <c r="C33" s="263" t="s">
        <v>283</v>
      </c>
    </row>
    <row r="34" spans="1:3" ht="25.5" x14ac:dyDescent="0.2">
      <c r="B34" s="122" t="s">
        <v>265</v>
      </c>
      <c r="C34" s="263" t="s">
        <v>284</v>
      </c>
    </row>
    <row r="35" spans="1:3" ht="51" x14ac:dyDescent="0.2">
      <c r="B35" s="122" t="s">
        <v>271</v>
      </c>
      <c r="C35" s="272" t="s">
        <v>303</v>
      </c>
    </row>
    <row r="36" spans="1:3" ht="52.5" customHeight="1" x14ac:dyDescent="0.2">
      <c r="A36" s="122" t="s">
        <v>272</v>
      </c>
      <c r="B36" s="371" t="s">
        <v>292</v>
      </c>
      <c r="C36" s="372"/>
    </row>
    <row r="37" spans="1:3" ht="69" customHeight="1" x14ac:dyDescent="0.2">
      <c r="A37" s="122"/>
      <c r="B37" s="273"/>
      <c r="C37" s="317" t="s">
        <v>305</v>
      </c>
    </row>
    <row r="38" spans="1:3" ht="26.25" customHeight="1" x14ac:dyDescent="0.2">
      <c r="A38" s="122" t="s">
        <v>262</v>
      </c>
      <c r="B38" s="371" t="s">
        <v>273</v>
      </c>
      <c r="C38" s="372"/>
    </row>
    <row r="39" spans="1:3" s="271" customFormat="1" ht="66.75" customHeight="1" x14ac:dyDescent="0.2">
      <c r="A39" s="267" t="s">
        <v>320</v>
      </c>
      <c r="B39" s="368" t="s">
        <v>325</v>
      </c>
      <c r="C39" s="368"/>
    </row>
    <row r="40" spans="1:3" s="271" customFormat="1" ht="27" customHeight="1" x14ac:dyDescent="0.2">
      <c r="A40" s="122"/>
      <c r="B40" s="122"/>
      <c r="C40" s="117" t="s">
        <v>321</v>
      </c>
    </row>
    <row r="41" spans="1:3" s="271" customFormat="1" ht="25.5" x14ac:dyDescent="0.2">
      <c r="A41" s="122"/>
      <c r="B41" s="122" t="s">
        <v>197</v>
      </c>
      <c r="C41" s="117" t="s">
        <v>326</v>
      </c>
    </row>
    <row r="42" spans="1:3" s="271" customFormat="1" ht="25.5" customHeight="1" x14ac:dyDescent="0.2">
      <c r="A42" s="122"/>
      <c r="B42" s="122" t="s">
        <v>198</v>
      </c>
      <c r="C42" s="117" t="s">
        <v>322</v>
      </c>
    </row>
    <row r="43" spans="1:3" s="271" customFormat="1" ht="15.75" customHeight="1" x14ac:dyDescent="0.2">
      <c r="A43" s="122"/>
      <c r="B43" s="122" t="s">
        <v>199</v>
      </c>
      <c r="C43" s="366" t="s">
        <v>323</v>
      </c>
    </row>
    <row r="44" spans="1:3" s="271" customFormat="1" ht="25.5" x14ac:dyDescent="0.2">
      <c r="A44" s="122"/>
      <c r="B44" s="122" t="s">
        <v>262</v>
      </c>
      <c r="C44" s="117" t="s">
        <v>324</v>
      </c>
    </row>
    <row r="45" spans="1:3" s="271" customFormat="1" x14ac:dyDescent="0.2">
      <c r="A45" s="306"/>
      <c r="B45" s="306"/>
    </row>
    <row r="46" spans="1:3" s="271" customFormat="1" x14ac:dyDescent="0.2">
      <c r="A46" s="306"/>
      <c r="B46" s="306"/>
    </row>
    <row r="47" spans="1:3" s="271" customFormat="1" x14ac:dyDescent="0.2">
      <c r="A47" s="306"/>
      <c r="B47" s="306"/>
    </row>
    <row r="48" spans="1:3" s="271" customFormat="1" x14ac:dyDescent="0.2">
      <c r="A48" s="306"/>
      <c r="B48" s="306"/>
    </row>
    <row r="49" spans="1:2" s="271" customFormat="1" x14ac:dyDescent="0.2">
      <c r="A49" s="306"/>
      <c r="B49" s="306"/>
    </row>
    <row r="50" spans="1:2" s="271" customFormat="1" x14ac:dyDescent="0.2">
      <c r="A50" s="306"/>
      <c r="B50" s="306"/>
    </row>
    <row r="51" spans="1:2" s="271" customFormat="1" x14ac:dyDescent="0.2">
      <c r="A51" s="306"/>
      <c r="B51" s="306"/>
    </row>
    <row r="52" spans="1:2" s="271" customFormat="1" x14ac:dyDescent="0.2">
      <c r="A52" s="306"/>
      <c r="B52" s="306"/>
    </row>
    <row r="53" spans="1:2" s="271" customFormat="1" x14ac:dyDescent="0.2">
      <c r="A53" s="306"/>
      <c r="B53" s="306"/>
    </row>
    <row r="54" spans="1:2" s="271" customFormat="1" x14ac:dyDescent="0.2">
      <c r="A54" s="306"/>
      <c r="B54" s="306"/>
    </row>
    <row r="55" spans="1:2" s="271" customFormat="1" x14ac:dyDescent="0.2">
      <c r="A55" s="306"/>
      <c r="B55" s="306"/>
    </row>
    <row r="56" spans="1:2" s="271" customFormat="1" x14ac:dyDescent="0.2">
      <c r="A56" s="306"/>
      <c r="B56" s="306"/>
    </row>
    <row r="57" spans="1:2" s="271" customFormat="1" x14ac:dyDescent="0.2">
      <c r="A57" s="306"/>
      <c r="B57" s="306"/>
    </row>
    <row r="58" spans="1:2" s="271" customFormat="1" x14ac:dyDescent="0.2">
      <c r="A58" s="306"/>
      <c r="B58" s="306"/>
    </row>
    <row r="59" spans="1:2" s="271" customFormat="1" x14ac:dyDescent="0.2">
      <c r="A59" s="306"/>
      <c r="B59" s="306"/>
    </row>
    <row r="60" spans="1:2" s="271" customFormat="1" x14ac:dyDescent="0.2">
      <c r="A60" s="306"/>
      <c r="B60" s="306"/>
    </row>
    <row r="61" spans="1:2" s="271" customFormat="1" x14ac:dyDescent="0.2">
      <c r="A61" s="306"/>
      <c r="B61" s="306"/>
    </row>
    <row r="62" spans="1:2" s="271" customFormat="1" x14ac:dyDescent="0.2">
      <c r="A62" s="306"/>
      <c r="B62" s="306"/>
    </row>
    <row r="63" spans="1:2" s="271" customFormat="1" x14ac:dyDescent="0.2">
      <c r="A63" s="306"/>
      <c r="B63" s="306"/>
    </row>
    <row r="64" spans="1:2" s="271" customFormat="1" x14ac:dyDescent="0.2">
      <c r="A64" s="306"/>
      <c r="B64" s="306"/>
    </row>
    <row r="65" spans="1:2" s="271" customFormat="1" x14ac:dyDescent="0.2">
      <c r="A65" s="306"/>
      <c r="B65" s="306"/>
    </row>
    <row r="66" spans="1:2" s="271" customFormat="1" x14ac:dyDescent="0.2">
      <c r="A66" s="306"/>
      <c r="B66" s="306"/>
    </row>
    <row r="67" spans="1:2" s="271" customFormat="1" x14ac:dyDescent="0.2">
      <c r="A67" s="306"/>
      <c r="B67" s="306"/>
    </row>
    <row r="68" spans="1:2" s="271" customFormat="1" x14ac:dyDescent="0.2">
      <c r="A68" s="306"/>
      <c r="B68" s="306"/>
    </row>
    <row r="69" spans="1:2" s="271" customFormat="1" x14ac:dyDescent="0.2">
      <c r="A69" s="306"/>
      <c r="B69" s="306"/>
    </row>
    <row r="70" spans="1:2" s="271" customFormat="1" x14ac:dyDescent="0.2">
      <c r="A70" s="306"/>
      <c r="B70" s="306"/>
    </row>
    <row r="71" spans="1:2" s="271" customFormat="1" x14ac:dyDescent="0.2">
      <c r="A71" s="306"/>
      <c r="B71" s="306"/>
    </row>
    <row r="72" spans="1:2" s="271" customFormat="1" x14ac:dyDescent="0.2">
      <c r="A72" s="306"/>
      <c r="B72" s="306"/>
    </row>
    <row r="73" spans="1:2" s="271" customFormat="1" x14ac:dyDescent="0.2">
      <c r="A73" s="306"/>
      <c r="B73" s="306"/>
    </row>
    <row r="74" spans="1:2" s="271" customFormat="1" x14ac:dyDescent="0.2">
      <c r="A74" s="306"/>
      <c r="B74" s="306"/>
    </row>
    <row r="75" spans="1:2" s="271" customFormat="1" x14ac:dyDescent="0.2">
      <c r="A75" s="306"/>
      <c r="B75" s="306"/>
    </row>
    <row r="76" spans="1:2" s="271" customFormat="1" x14ac:dyDescent="0.2">
      <c r="A76" s="306"/>
      <c r="B76" s="306"/>
    </row>
    <row r="77" spans="1:2" s="271" customFormat="1" x14ac:dyDescent="0.2">
      <c r="A77" s="306"/>
      <c r="B77" s="306"/>
    </row>
    <row r="78" spans="1:2" s="271" customFormat="1" x14ac:dyDescent="0.2">
      <c r="A78" s="306"/>
      <c r="B78" s="306"/>
    </row>
    <row r="79" spans="1:2" s="271" customFormat="1" x14ac:dyDescent="0.2">
      <c r="A79" s="306"/>
      <c r="B79" s="306"/>
    </row>
    <row r="80" spans="1:2" s="271" customFormat="1" x14ac:dyDescent="0.2">
      <c r="A80" s="306"/>
      <c r="B80" s="306"/>
    </row>
    <row r="81" spans="1:2" s="271" customFormat="1" x14ac:dyDescent="0.2">
      <c r="A81" s="306"/>
      <c r="B81" s="306"/>
    </row>
    <row r="82" spans="1:2" s="271" customFormat="1" x14ac:dyDescent="0.2">
      <c r="A82" s="306"/>
      <c r="B82" s="306"/>
    </row>
    <row r="83" spans="1:2" s="271" customFormat="1" x14ac:dyDescent="0.2">
      <c r="A83" s="306"/>
      <c r="B83" s="306"/>
    </row>
    <row r="84" spans="1:2" s="271" customFormat="1" x14ac:dyDescent="0.2">
      <c r="A84" s="306"/>
      <c r="B84" s="306"/>
    </row>
    <row r="85" spans="1:2" s="271" customFormat="1" x14ac:dyDescent="0.2">
      <c r="A85" s="306"/>
      <c r="B85" s="306"/>
    </row>
    <row r="86" spans="1:2" s="271" customFormat="1" x14ac:dyDescent="0.2">
      <c r="A86" s="306"/>
      <c r="B86" s="306"/>
    </row>
    <row r="87" spans="1:2" s="271" customFormat="1" x14ac:dyDescent="0.2">
      <c r="A87" s="306"/>
      <c r="B87" s="306"/>
    </row>
    <row r="88" spans="1:2" s="271" customFormat="1" x14ac:dyDescent="0.2">
      <c r="A88" s="306"/>
      <c r="B88" s="306"/>
    </row>
    <row r="89" spans="1:2" s="271" customFormat="1" x14ac:dyDescent="0.2">
      <c r="A89" s="306"/>
      <c r="B89" s="306"/>
    </row>
    <row r="90" spans="1:2" s="271" customFormat="1" x14ac:dyDescent="0.2">
      <c r="A90" s="306"/>
      <c r="B90" s="306"/>
    </row>
    <row r="91" spans="1:2" s="271" customFormat="1" x14ac:dyDescent="0.2">
      <c r="A91" s="306"/>
      <c r="B91" s="306"/>
    </row>
    <row r="92" spans="1:2" s="271" customFormat="1" x14ac:dyDescent="0.2">
      <c r="A92" s="306"/>
      <c r="B92" s="306"/>
    </row>
    <row r="93" spans="1:2" s="271" customFormat="1" x14ac:dyDescent="0.2">
      <c r="A93" s="306"/>
      <c r="B93" s="306"/>
    </row>
    <row r="94" spans="1:2" s="271" customFormat="1" x14ac:dyDescent="0.2">
      <c r="A94" s="306"/>
      <c r="B94" s="306"/>
    </row>
    <row r="95" spans="1:2" s="271" customFormat="1" x14ac:dyDescent="0.2">
      <c r="A95" s="306"/>
      <c r="B95" s="306"/>
    </row>
    <row r="96" spans="1:2" s="271" customFormat="1" x14ac:dyDescent="0.2">
      <c r="A96" s="306"/>
      <c r="B96" s="306"/>
    </row>
    <row r="97" spans="1:2" s="271" customFormat="1" x14ac:dyDescent="0.2">
      <c r="A97" s="306"/>
      <c r="B97" s="306"/>
    </row>
    <row r="98" spans="1:2" s="271" customFormat="1" x14ac:dyDescent="0.2">
      <c r="A98" s="306"/>
      <c r="B98" s="306"/>
    </row>
    <row r="99" spans="1:2" s="271" customFormat="1" x14ac:dyDescent="0.2">
      <c r="A99" s="306"/>
      <c r="B99" s="306"/>
    </row>
    <row r="100" spans="1:2" s="271" customFormat="1" x14ac:dyDescent="0.2">
      <c r="A100" s="306"/>
      <c r="B100" s="306"/>
    </row>
    <row r="101" spans="1:2" s="271" customFormat="1" x14ac:dyDescent="0.2">
      <c r="A101" s="306"/>
      <c r="B101" s="306"/>
    </row>
    <row r="102" spans="1:2" s="271" customFormat="1" x14ac:dyDescent="0.2">
      <c r="A102" s="306"/>
      <c r="B102" s="306"/>
    </row>
    <row r="103" spans="1:2" s="271" customFormat="1" x14ac:dyDescent="0.2">
      <c r="A103" s="306"/>
      <c r="B103" s="306"/>
    </row>
    <row r="104" spans="1:2" s="271" customFormat="1" x14ac:dyDescent="0.2">
      <c r="A104" s="306"/>
      <c r="B104" s="306"/>
    </row>
    <row r="105" spans="1:2" s="271" customFormat="1" x14ac:dyDescent="0.2">
      <c r="A105" s="306"/>
      <c r="B105" s="306"/>
    </row>
    <row r="106" spans="1:2" s="271" customFormat="1" x14ac:dyDescent="0.2">
      <c r="A106" s="306"/>
      <c r="B106" s="306"/>
    </row>
    <row r="107" spans="1:2" s="271" customFormat="1" x14ac:dyDescent="0.2">
      <c r="A107" s="306"/>
      <c r="B107" s="306"/>
    </row>
    <row r="108" spans="1:2" s="271" customFormat="1" x14ac:dyDescent="0.2">
      <c r="A108" s="306"/>
      <c r="B108" s="306"/>
    </row>
    <row r="109" spans="1:2" s="271" customFormat="1" x14ac:dyDescent="0.2">
      <c r="A109" s="306"/>
      <c r="B109" s="306"/>
    </row>
    <row r="110" spans="1:2" s="271" customFormat="1" x14ac:dyDescent="0.2">
      <c r="A110" s="306"/>
      <c r="B110" s="306"/>
    </row>
    <row r="111" spans="1:2" s="271" customFormat="1" x14ac:dyDescent="0.2">
      <c r="A111" s="306"/>
      <c r="B111" s="306"/>
    </row>
    <row r="112" spans="1:2" s="271" customFormat="1" x14ac:dyDescent="0.2">
      <c r="A112" s="306"/>
      <c r="B112" s="306"/>
    </row>
    <row r="113" spans="1:2" s="271" customFormat="1" x14ac:dyDescent="0.2">
      <c r="A113" s="306"/>
      <c r="B113" s="306"/>
    </row>
    <row r="114" spans="1:2" s="271" customFormat="1" x14ac:dyDescent="0.2">
      <c r="A114" s="306"/>
      <c r="B114" s="306"/>
    </row>
    <row r="115" spans="1:2" s="271" customFormat="1" x14ac:dyDescent="0.2">
      <c r="A115" s="306"/>
      <c r="B115" s="306"/>
    </row>
    <row r="116" spans="1:2" s="271" customFormat="1" x14ac:dyDescent="0.2">
      <c r="A116" s="306"/>
      <c r="B116" s="306"/>
    </row>
    <row r="117" spans="1:2" s="271" customFormat="1" x14ac:dyDescent="0.2">
      <c r="A117" s="306"/>
      <c r="B117" s="306"/>
    </row>
    <row r="118" spans="1:2" s="271" customFormat="1" x14ac:dyDescent="0.2">
      <c r="A118" s="306"/>
      <c r="B118" s="306"/>
    </row>
    <row r="119" spans="1:2" s="271" customFormat="1" x14ac:dyDescent="0.2">
      <c r="A119" s="306"/>
      <c r="B119" s="306"/>
    </row>
    <row r="120" spans="1:2" s="271" customFormat="1" x14ac:dyDescent="0.2">
      <c r="A120" s="306"/>
      <c r="B120" s="306"/>
    </row>
    <row r="121" spans="1:2" s="271" customFormat="1" x14ac:dyDescent="0.2">
      <c r="A121" s="306"/>
      <c r="B121" s="306"/>
    </row>
    <row r="122" spans="1:2" s="271" customFormat="1" x14ac:dyDescent="0.2">
      <c r="A122" s="306"/>
      <c r="B122" s="306"/>
    </row>
    <row r="123" spans="1:2" s="271" customFormat="1" x14ac:dyDescent="0.2">
      <c r="A123" s="306"/>
      <c r="B123" s="306"/>
    </row>
    <row r="124" spans="1:2" s="271" customFormat="1" x14ac:dyDescent="0.2">
      <c r="A124" s="306"/>
      <c r="B124" s="306"/>
    </row>
    <row r="125" spans="1:2" s="271" customFormat="1" x14ac:dyDescent="0.2">
      <c r="A125" s="306"/>
      <c r="B125" s="306"/>
    </row>
    <row r="126" spans="1:2" s="271" customFormat="1" x14ac:dyDescent="0.2">
      <c r="A126" s="306"/>
      <c r="B126" s="306"/>
    </row>
    <row r="127" spans="1:2" s="271" customFormat="1" x14ac:dyDescent="0.2">
      <c r="A127" s="306"/>
      <c r="B127" s="306"/>
    </row>
    <row r="128" spans="1:2" s="271" customFormat="1" x14ac:dyDescent="0.2">
      <c r="A128" s="306"/>
      <c r="B128" s="306"/>
    </row>
    <row r="129" spans="1:2" s="271" customFormat="1" x14ac:dyDescent="0.2">
      <c r="A129" s="306"/>
      <c r="B129" s="306"/>
    </row>
    <row r="130" spans="1:2" s="271" customFormat="1" x14ac:dyDescent="0.2">
      <c r="A130" s="306"/>
      <c r="B130" s="306"/>
    </row>
    <row r="131" spans="1:2" s="271" customFormat="1" x14ac:dyDescent="0.2">
      <c r="A131" s="306"/>
      <c r="B131" s="306"/>
    </row>
    <row r="132" spans="1:2" s="271" customFormat="1" x14ac:dyDescent="0.2">
      <c r="A132" s="306"/>
      <c r="B132" s="306"/>
    </row>
    <row r="133" spans="1:2" s="271" customFormat="1" x14ac:dyDescent="0.2">
      <c r="A133" s="306"/>
      <c r="B133" s="306"/>
    </row>
    <row r="134" spans="1:2" s="271" customFormat="1" x14ac:dyDescent="0.2">
      <c r="A134" s="306"/>
      <c r="B134" s="306"/>
    </row>
    <row r="135" spans="1:2" s="271" customFormat="1" x14ac:dyDescent="0.2">
      <c r="A135" s="306"/>
      <c r="B135" s="306"/>
    </row>
    <row r="136" spans="1:2" s="271" customFormat="1" x14ac:dyDescent="0.2">
      <c r="A136" s="306"/>
      <c r="B136" s="306"/>
    </row>
    <row r="137" spans="1:2" s="271" customFormat="1" x14ac:dyDescent="0.2">
      <c r="A137" s="306"/>
      <c r="B137" s="306"/>
    </row>
    <row r="138" spans="1:2" s="271" customFormat="1" x14ac:dyDescent="0.2">
      <c r="A138" s="306"/>
      <c r="B138" s="306"/>
    </row>
    <row r="139" spans="1:2" s="271" customFormat="1" x14ac:dyDescent="0.2">
      <c r="A139" s="306"/>
      <c r="B139" s="306"/>
    </row>
    <row r="140" spans="1:2" s="271" customFormat="1" x14ac:dyDescent="0.2">
      <c r="A140" s="306"/>
      <c r="B140" s="306"/>
    </row>
    <row r="141" spans="1:2" s="271" customFormat="1" x14ac:dyDescent="0.2">
      <c r="A141" s="306"/>
      <c r="B141" s="306"/>
    </row>
    <row r="142" spans="1:2" s="271" customFormat="1" x14ac:dyDescent="0.2">
      <c r="A142" s="306"/>
      <c r="B142" s="306"/>
    </row>
    <row r="143" spans="1:2" s="271" customFormat="1" x14ac:dyDescent="0.2">
      <c r="A143" s="306"/>
      <c r="B143" s="306"/>
    </row>
    <row r="144" spans="1:2" s="271" customFormat="1" x14ac:dyDescent="0.2">
      <c r="A144" s="306"/>
      <c r="B144" s="306"/>
    </row>
    <row r="145" spans="1:2" s="271" customFormat="1" x14ac:dyDescent="0.2">
      <c r="A145" s="306"/>
      <c r="B145" s="306"/>
    </row>
    <row r="146" spans="1:2" s="271" customFormat="1" x14ac:dyDescent="0.2">
      <c r="A146" s="306"/>
      <c r="B146" s="306"/>
    </row>
    <row r="147" spans="1:2" s="271" customFormat="1" x14ac:dyDescent="0.2">
      <c r="A147" s="306"/>
      <c r="B147" s="306"/>
    </row>
    <row r="148" spans="1:2" s="271" customFormat="1" x14ac:dyDescent="0.2">
      <c r="A148" s="306"/>
      <c r="B148" s="306"/>
    </row>
    <row r="149" spans="1:2" s="271" customFormat="1" x14ac:dyDescent="0.2">
      <c r="A149" s="306"/>
      <c r="B149" s="306"/>
    </row>
    <row r="150" spans="1:2" s="271" customFormat="1" x14ac:dyDescent="0.2">
      <c r="A150" s="306"/>
      <c r="B150" s="306"/>
    </row>
    <row r="151" spans="1:2" s="271" customFormat="1" x14ac:dyDescent="0.2">
      <c r="A151" s="306"/>
      <c r="B151" s="306"/>
    </row>
    <row r="152" spans="1:2" s="271" customFormat="1" x14ac:dyDescent="0.2">
      <c r="A152" s="306"/>
      <c r="B152" s="306"/>
    </row>
    <row r="153" spans="1:2" s="271" customFormat="1" x14ac:dyDescent="0.2">
      <c r="A153" s="306"/>
      <c r="B153" s="306"/>
    </row>
    <row r="154" spans="1:2" s="271" customFormat="1" x14ac:dyDescent="0.2">
      <c r="A154" s="306"/>
      <c r="B154" s="306"/>
    </row>
    <row r="155" spans="1:2" s="271" customFormat="1" x14ac:dyDescent="0.2">
      <c r="A155" s="306"/>
      <c r="B155" s="306"/>
    </row>
    <row r="156" spans="1:2" s="271" customFormat="1" x14ac:dyDescent="0.2">
      <c r="A156" s="306"/>
      <c r="B156" s="306"/>
    </row>
    <row r="157" spans="1:2" s="271" customFormat="1" x14ac:dyDescent="0.2">
      <c r="A157" s="306"/>
      <c r="B157" s="306"/>
    </row>
    <row r="158" spans="1:2" s="271" customFormat="1" x14ac:dyDescent="0.2">
      <c r="A158" s="306"/>
      <c r="B158" s="306"/>
    </row>
    <row r="159" spans="1:2" s="271" customFormat="1" x14ac:dyDescent="0.2">
      <c r="A159" s="306"/>
      <c r="B159" s="306"/>
    </row>
    <row r="160" spans="1:2" s="271" customFormat="1" x14ac:dyDescent="0.2">
      <c r="A160" s="306"/>
      <c r="B160" s="306"/>
    </row>
    <row r="161" spans="1:2" s="271" customFormat="1" x14ac:dyDescent="0.2">
      <c r="A161" s="306"/>
      <c r="B161" s="306"/>
    </row>
    <row r="162" spans="1:2" s="271" customFormat="1" x14ac:dyDescent="0.2">
      <c r="A162" s="306"/>
      <c r="B162" s="306"/>
    </row>
    <row r="163" spans="1:2" s="271" customFormat="1" x14ac:dyDescent="0.2">
      <c r="A163" s="306"/>
      <c r="B163" s="306"/>
    </row>
    <row r="164" spans="1:2" s="271" customFormat="1" x14ac:dyDescent="0.2">
      <c r="A164" s="306"/>
      <c r="B164" s="306"/>
    </row>
    <row r="165" spans="1:2" s="271" customFormat="1" x14ac:dyDescent="0.2">
      <c r="A165" s="306"/>
      <c r="B165" s="306"/>
    </row>
    <row r="166" spans="1:2" s="271" customFormat="1" x14ac:dyDescent="0.2">
      <c r="A166" s="306"/>
      <c r="B166" s="306"/>
    </row>
    <row r="167" spans="1:2" s="271" customFormat="1" x14ac:dyDescent="0.2">
      <c r="A167" s="306"/>
      <c r="B167" s="306"/>
    </row>
    <row r="168" spans="1:2" s="271" customFormat="1" x14ac:dyDescent="0.2">
      <c r="A168" s="306"/>
      <c r="B168" s="306"/>
    </row>
    <row r="169" spans="1:2" s="271" customFormat="1" x14ac:dyDescent="0.2">
      <c r="A169" s="306"/>
      <c r="B169" s="306"/>
    </row>
    <row r="170" spans="1:2" s="271" customFormat="1" x14ac:dyDescent="0.2">
      <c r="A170" s="306"/>
      <c r="B170" s="306"/>
    </row>
    <row r="171" spans="1:2" s="271" customFormat="1" x14ac:dyDescent="0.2">
      <c r="A171" s="306"/>
      <c r="B171" s="306"/>
    </row>
    <row r="172" spans="1:2" s="271" customFormat="1" x14ac:dyDescent="0.2">
      <c r="A172" s="306"/>
      <c r="B172" s="306"/>
    </row>
    <row r="173" spans="1:2" s="271" customFormat="1" x14ac:dyDescent="0.2">
      <c r="A173" s="306"/>
      <c r="B173" s="306"/>
    </row>
    <row r="174" spans="1:2" s="271" customFormat="1" x14ac:dyDescent="0.2">
      <c r="A174" s="306"/>
      <c r="B174" s="306"/>
    </row>
    <row r="175" spans="1:2" s="271" customFormat="1" x14ac:dyDescent="0.2">
      <c r="A175" s="306"/>
      <c r="B175" s="306"/>
    </row>
    <row r="176" spans="1:2" s="271" customFormat="1" x14ac:dyDescent="0.2">
      <c r="A176" s="306"/>
      <c r="B176" s="306"/>
    </row>
    <row r="177" spans="1:2" s="271" customFormat="1" x14ac:dyDescent="0.2">
      <c r="A177" s="306"/>
      <c r="B177" s="306"/>
    </row>
    <row r="178" spans="1:2" s="271" customFormat="1" x14ac:dyDescent="0.2">
      <c r="A178" s="306"/>
      <c r="B178" s="306"/>
    </row>
    <row r="179" spans="1:2" s="271" customFormat="1" x14ac:dyDescent="0.2">
      <c r="A179" s="306"/>
      <c r="B179" s="306"/>
    </row>
    <row r="180" spans="1:2" s="271" customFormat="1" x14ac:dyDescent="0.2">
      <c r="A180" s="306"/>
      <c r="B180" s="306"/>
    </row>
    <row r="181" spans="1:2" s="271" customFormat="1" x14ac:dyDescent="0.2">
      <c r="A181" s="306"/>
      <c r="B181" s="306"/>
    </row>
    <row r="182" spans="1:2" s="271" customFormat="1" x14ac:dyDescent="0.2">
      <c r="A182" s="306"/>
      <c r="B182" s="306"/>
    </row>
    <row r="183" spans="1:2" s="271" customFormat="1" x14ac:dyDescent="0.2">
      <c r="A183" s="306"/>
      <c r="B183" s="306"/>
    </row>
    <row r="184" spans="1:2" s="271" customFormat="1" x14ac:dyDescent="0.2">
      <c r="A184" s="306"/>
      <c r="B184" s="306"/>
    </row>
    <row r="185" spans="1:2" s="271" customFormat="1" x14ac:dyDescent="0.2">
      <c r="A185" s="306"/>
      <c r="B185" s="306"/>
    </row>
    <row r="186" spans="1:2" s="271" customFormat="1" x14ac:dyDescent="0.2">
      <c r="A186" s="306"/>
      <c r="B186" s="306"/>
    </row>
  </sheetData>
  <mergeCells count="25">
    <mergeCell ref="A13:C13"/>
    <mergeCell ref="A17:C17"/>
    <mergeCell ref="A1:C1"/>
    <mergeCell ref="A4:C4"/>
    <mergeCell ref="A9:C9"/>
    <mergeCell ref="B2:C2"/>
    <mergeCell ref="B3:C3"/>
    <mergeCell ref="B5:C5"/>
    <mergeCell ref="B6:C6"/>
    <mergeCell ref="B7:C7"/>
    <mergeCell ref="B10:C10"/>
    <mergeCell ref="B11:C11"/>
    <mergeCell ref="B14:C14"/>
    <mergeCell ref="B15:C15"/>
    <mergeCell ref="B18:C18"/>
    <mergeCell ref="B19:C19"/>
    <mergeCell ref="B21:C21"/>
    <mergeCell ref="B22:C22"/>
    <mergeCell ref="B23:C23"/>
    <mergeCell ref="B39:C39"/>
    <mergeCell ref="B26:C26"/>
    <mergeCell ref="B20:C20"/>
    <mergeCell ref="B28:C28"/>
    <mergeCell ref="B36:C36"/>
    <mergeCell ref="B38:C3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BJ480"/>
  <sheetViews>
    <sheetView tabSelected="1" view="pageBreakPreview" zoomScaleNormal="100" zoomScaleSheetLayoutView="100" zoomScalePageLayoutView="40" workbookViewId="0">
      <selection activeCell="I11" sqref="I11"/>
    </sheetView>
  </sheetViews>
  <sheetFormatPr defaultRowHeight="12.75" x14ac:dyDescent="0.2"/>
  <cols>
    <col min="1" max="1" width="8.140625" style="325" customWidth="1"/>
    <col min="2" max="3" width="8.140625" style="4" customWidth="1"/>
    <col min="4" max="4" width="8.7109375" style="4" customWidth="1"/>
    <col min="5" max="8" width="8.140625" style="4" customWidth="1"/>
    <col min="9" max="9" width="9.7109375" style="78" customWidth="1"/>
    <col min="10" max="10" width="8.42578125" style="71" customWidth="1"/>
    <col min="11" max="11" width="8.28515625" style="78" customWidth="1"/>
    <col min="12" max="12" width="3.5703125" style="196" customWidth="1"/>
    <col min="13" max="13" width="6.140625" style="294" customWidth="1"/>
    <col min="14" max="14" width="5.85546875" style="294" customWidth="1"/>
    <col min="15" max="15" width="6.140625" style="294" customWidth="1"/>
    <col min="16" max="16" width="6.7109375" style="294" customWidth="1"/>
    <col min="17" max="18" width="6.140625" style="294" customWidth="1"/>
    <col min="19" max="24" width="7.140625" style="294" customWidth="1"/>
    <col min="25" max="30" width="7.140625" style="208" customWidth="1"/>
    <col min="31" max="38" width="7.140625" customWidth="1"/>
    <col min="50" max="16384" width="9.140625" style="5"/>
  </cols>
  <sheetData>
    <row r="1" spans="1:49" ht="28.5" customHeight="1" x14ac:dyDescent="0.2">
      <c r="A1" s="324" t="s">
        <v>61</v>
      </c>
      <c r="B1" s="46" t="s">
        <v>60</v>
      </c>
      <c r="C1" s="420" t="s">
        <v>67</v>
      </c>
      <c r="D1" s="421"/>
      <c r="E1" s="421"/>
      <c r="F1" s="421"/>
      <c r="G1" s="422"/>
      <c r="H1" s="1" t="s">
        <v>62</v>
      </c>
      <c r="I1" s="237">
        <v>1293</v>
      </c>
      <c r="J1" s="236" t="s">
        <v>63</v>
      </c>
      <c r="K1" s="23"/>
      <c r="AO1" s="5"/>
      <c r="AP1" s="5"/>
      <c r="AQ1" s="5"/>
      <c r="AR1" s="5"/>
      <c r="AS1" s="5"/>
      <c r="AT1" s="5"/>
      <c r="AU1" s="5"/>
      <c r="AV1" s="5"/>
      <c r="AW1" s="5"/>
    </row>
    <row r="2" spans="1:49" ht="15" x14ac:dyDescent="0.2">
      <c r="A2" s="124"/>
      <c r="B2" s="423" t="s">
        <v>327</v>
      </c>
      <c r="C2" s="423"/>
      <c r="D2" s="423"/>
      <c r="E2" s="423"/>
      <c r="F2" s="423"/>
      <c r="G2" s="423"/>
      <c r="H2" s="2" t="s">
        <v>64</v>
      </c>
      <c r="I2" s="237"/>
      <c r="J2" s="449" t="s">
        <v>52</v>
      </c>
      <c r="K2" s="450"/>
      <c r="AO2" s="5"/>
      <c r="AP2" s="5"/>
      <c r="AQ2" s="5"/>
      <c r="AR2" s="5"/>
      <c r="AS2" s="5"/>
      <c r="AT2" s="5"/>
      <c r="AU2" s="5"/>
      <c r="AV2" s="5"/>
      <c r="AW2" s="5"/>
    </row>
    <row r="3" spans="1:49" ht="15" customHeight="1" x14ac:dyDescent="0.2">
      <c r="A3" s="125"/>
      <c r="B3" s="423" t="s">
        <v>68</v>
      </c>
      <c r="C3" s="423"/>
      <c r="D3" s="423"/>
      <c r="E3" s="423"/>
      <c r="F3" s="423"/>
      <c r="G3" s="423"/>
      <c r="H3" s="2" t="s">
        <v>65</v>
      </c>
      <c r="I3" s="238"/>
      <c r="J3" s="451"/>
      <c r="K3" s="452"/>
      <c r="AO3" s="5"/>
      <c r="AP3" s="5"/>
      <c r="AQ3" s="5"/>
      <c r="AR3" s="5"/>
      <c r="AS3" s="5"/>
      <c r="AT3" s="5"/>
      <c r="AU3" s="5"/>
      <c r="AV3" s="5"/>
      <c r="AW3" s="5"/>
    </row>
    <row r="4" spans="1:49" ht="15" customHeight="1" x14ac:dyDescent="0.2">
      <c r="A4" s="126"/>
      <c r="B4" s="423" t="s">
        <v>192</v>
      </c>
      <c r="C4" s="423"/>
      <c r="D4" s="423"/>
      <c r="E4" s="423"/>
      <c r="F4" s="423"/>
      <c r="G4" s="423"/>
      <c r="H4" s="2" t="s">
        <v>66</v>
      </c>
      <c r="I4" s="238"/>
      <c r="J4" s="453"/>
      <c r="K4" s="454"/>
      <c r="AO4" s="5"/>
      <c r="AP4" s="5"/>
      <c r="AQ4" s="5"/>
      <c r="AR4" s="5"/>
      <c r="AS4" s="5"/>
      <c r="AT4" s="5"/>
      <c r="AU4" s="5"/>
      <c r="AV4" s="5"/>
      <c r="AW4" s="5"/>
    </row>
    <row r="5" spans="1:49" x14ac:dyDescent="0.2">
      <c r="J5" s="4"/>
      <c r="AO5" s="5"/>
      <c r="AP5" s="5"/>
      <c r="AQ5" s="5"/>
      <c r="AR5" s="5"/>
      <c r="AS5" s="5"/>
      <c r="AT5" s="5"/>
      <c r="AU5" s="5"/>
      <c r="AV5" s="5"/>
      <c r="AW5" s="5"/>
    </row>
    <row r="6" spans="1:49" ht="18" x14ac:dyDescent="0.2">
      <c r="A6" s="326" t="s">
        <v>188</v>
      </c>
      <c r="B6" s="9"/>
      <c r="C6" s="9"/>
      <c r="D6" s="9"/>
      <c r="E6" s="6"/>
      <c r="F6" s="6"/>
      <c r="G6" s="6"/>
      <c r="H6" s="6"/>
      <c r="I6" s="172"/>
      <c r="J6" s="6"/>
      <c r="K6" s="172"/>
      <c r="AO6" s="5"/>
      <c r="AP6" s="5"/>
      <c r="AQ6" s="5"/>
      <c r="AR6" s="5"/>
      <c r="AS6" s="5"/>
      <c r="AT6" s="5"/>
      <c r="AU6" s="5"/>
      <c r="AV6" s="5"/>
      <c r="AW6" s="5"/>
    </row>
    <row r="7" spans="1:49" ht="15.75" x14ac:dyDescent="0.2">
      <c r="A7" s="327"/>
      <c r="B7" s="9"/>
      <c r="C7" s="9"/>
      <c r="D7" s="9"/>
      <c r="E7" s="6"/>
      <c r="F7" s="6"/>
      <c r="G7" s="6"/>
      <c r="H7" s="6"/>
      <c r="I7" s="172"/>
      <c r="J7" s="6"/>
      <c r="K7" s="172"/>
      <c r="AO7" s="5"/>
      <c r="AP7" s="5"/>
      <c r="AQ7" s="5"/>
      <c r="AR7" s="5"/>
      <c r="AS7" s="5"/>
      <c r="AT7" s="5"/>
      <c r="AU7" s="5"/>
      <c r="AV7" s="5"/>
      <c r="AW7" s="5"/>
    </row>
    <row r="8" spans="1:49" ht="73.5" customHeight="1" x14ac:dyDescent="0.2">
      <c r="A8" s="468" t="s">
        <v>170</v>
      </c>
      <c r="B8" s="468"/>
      <c r="C8" s="468"/>
      <c r="D8" s="468"/>
      <c r="E8" s="468"/>
      <c r="F8" s="468"/>
      <c r="G8" s="468"/>
      <c r="H8" s="468"/>
      <c r="I8" s="469"/>
      <c r="J8" s="360"/>
      <c r="K8" s="361"/>
      <c r="M8" s="467" t="s">
        <v>233</v>
      </c>
      <c r="N8" s="467"/>
      <c r="O8" s="467"/>
      <c r="P8" s="467"/>
      <c r="Q8" s="467"/>
      <c r="R8" s="467"/>
      <c r="S8" s="467"/>
      <c r="T8" s="467"/>
      <c r="U8" s="467"/>
      <c r="AO8" s="5"/>
      <c r="AP8" s="5"/>
      <c r="AQ8" s="5"/>
      <c r="AR8" s="5"/>
      <c r="AS8" s="5"/>
      <c r="AT8" s="5"/>
      <c r="AU8" s="5"/>
      <c r="AV8" s="5"/>
      <c r="AW8" s="5"/>
    </row>
    <row r="9" spans="1:49" ht="15.75" x14ac:dyDescent="0.2">
      <c r="A9" s="362" t="s">
        <v>103</v>
      </c>
      <c r="B9" s="9"/>
      <c r="C9" s="9"/>
      <c r="D9" s="9"/>
      <c r="E9" s="6"/>
      <c r="F9" s="6"/>
      <c r="G9" s="6"/>
      <c r="H9" s="6"/>
      <c r="I9" s="172"/>
      <c r="J9" s="6"/>
      <c r="K9" s="172"/>
      <c r="AO9" s="5"/>
      <c r="AP9" s="5"/>
      <c r="AQ9" s="5"/>
      <c r="AR9" s="5"/>
      <c r="AS9" s="5"/>
      <c r="AT9" s="5"/>
      <c r="AU9" s="5"/>
      <c r="AV9" s="5"/>
      <c r="AW9" s="5"/>
    </row>
    <row r="10" spans="1:49" s="202" customFormat="1" ht="13.5" thickBot="1" x14ac:dyDescent="0.25">
      <c r="A10" s="328"/>
      <c r="B10" s="170"/>
      <c r="C10" s="170"/>
      <c r="D10" s="170"/>
      <c r="E10" s="170"/>
      <c r="F10" s="170"/>
      <c r="G10" s="170"/>
      <c r="H10" s="170"/>
      <c r="I10" s="171"/>
      <c r="J10" s="196"/>
      <c r="K10" s="351"/>
      <c r="L10" s="196"/>
      <c r="M10" s="294"/>
      <c r="N10" s="294"/>
      <c r="O10" s="294"/>
      <c r="P10" s="294"/>
      <c r="Q10" s="294"/>
      <c r="R10" s="294"/>
      <c r="S10" s="294"/>
      <c r="T10" s="294"/>
      <c r="U10" s="294"/>
      <c r="V10" s="294"/>
      <c r="W10" s="294"/>
      <c r="X10" s="294"/>
      <c r="Y10" s="210"/>
      <c r="Z10" s="210"/>
      <c r="AA10" s="210"/>
      <c r="AB10" s="210"/>
      <c r="AC10" s="210"/>
      <c r="AD10" s="210"/>
      <c r="AE10" s="197"/>
      <c r="AF10" s="197"/>
      <c r="AG10" s="197"/>
      <c r="AH10" s="197"/>
      <c r="AI10" s="197"/>
      <c r="AJ10" s="197"/>
      <c r="AK10" s="197"/>
      <c r="AL10" s="197"/>
      <c r="AM10" s="197"/>
      <c r="AN10" s="197"/>
      <c r="AO10" s="197"/>
      <c r="AP10" s="197"/>
      <c r="AQ10" s="197"/>
      <c r="AR10" s="197"/>
      <c r="AS10" s="197"/>
      <c r="AT10" s="197"/>
      <c r="AU10" s="197"/>
      <c r="AV10" s="197"/>
      <c r="AW10" s="197"/>
    </row>
    <row r="11" spans="1:49" ht="18" x14ac:dyDescent="0.2">
      <c r="A11" s="326" t="s">
        <v>208</v>
      </c>
      <c r="B11" s="13"/>
      <c r="C11" s="13"/>
      <c r="D11" s="13"/>
      <c r="E11" s="13"/>
      <c r="F11" s="13"/>
      <c r="G11" s="13"/>
      <c r="H11" s="13"/>
      <c r="I11" s="239"/>
      <c r="J11"/>
      <c r="K11" s="352"/>
      <c r="O11" s="295"/>
      <c r="P11" s="295"/>
      <c r="Q11" s="296"/>
      <c r="R11" s="296"/>
      <c r="AO11" s="5"/>
      <c r="AP11" s="5"/>
      <c r="AQ11" s="5"/>
      <c r="AR11" s="5"/>
      <c r="AS11" s="5"/>
      <c r="AT11" s="5"/>
      <c r="AU11" s="5"/>
      <c r="AV11" s="5"/>
      <c r="AW11" s="5"/>
    </row>
    <row r="12" spans="1:49" ht="15" x14ac:dyDescent="0.2">
      <c r="A12" s="327"/>
      <c r="B12" s="13"/>
      <c r="C12" s="13"/>
      <c r="D12" s="13"/>
      <c r="E12" s="13"/>
      <c r="F12" s="13"/>
      <c r="G12" s="13"/>
      <c r="H12" s="13"/>
      <c r="I12" s="239"/>
      <c r="J12"/>
      <c r="K12" s="352"/>
      <c r="AO12" s="5"/>
      <c r="AP12" s="5"/>
      <c r="AQ12" s="5"/>
      <c r="AR12" s="5"/>
      <c r="AS12" s="5"/>
      <c r="AT12" s="5"/>
      <c r="AU12" s="5"/>
      <c r="AV12" s="5"/>
      <c r="AW12" s="5"/>
    </row>
    <row r="13" spans="1:49" x14ac:dyDescent="0.2">
      <c r="A13" s="329" t="s">
        <v>148</v>
      </c>
      <c r="B13" s="15"/>
      <c r="C13" s="13"/>
      <c r="D13" s="13"/>
      <c r="G13" s="16"/>
      <c r="H13" s="16"/>
      <c r="I13" s="240"/>
      <c r="J13"/>
      <c r="K13" s="352"/>
      <c r="AO13" s="5"/>
      <c r="AP13" s="5"/>
      <c r="AQ13" s="5"/>
      <c r="AR13" s="5"/>
      <c r="AS13" s="5"/>
      <c r="AT13" s="5"/>
      <c r="AU13" s="5"/>
      <c r="AV13" s="5"/>
      <c r="AW13" s="5"/>
    </row>
    <row r="14" spans="1:49" x14ac:dyDescent="0.2">
      <c r="A14" s="330"/>
      <c r="B14" s="251"/>
      <c r="C14" s="252"/>
      <c r="D14" s="252"/>
      <c r="G14" s="16"/>
      <c r="H14" s="16"/>
      <c r="I14" s="240"/>
      <c r="J14"/>
      <c r="K14" s="352"/>
      <c r="AO14" s="5"/>
      <c r="AP14" s="5"/>
      <c r="AQ14" s="5"/>
      <c r="AR14" s="5"/>
      <c r="AS14" s="5"/>
      <c r="AT14" s="5"/>
      <c r="AU14" s="5"/>
      <c r="AV14" s="5"/>
      <c r="AW14" s="5"/>
    </row>
    <row r="15" spans="1:49" x14ac:dyDescent="0.2">
      <c r="A15" s="330"/>
      <c r="B15" s="251"/>
      <c r="C15" s="252"/>
      <c r="D15" s="252"/>
      <c r="G15" s="16"/>
      <c r="H15" s="16"/>
      <c r="I15" s="240"/>
      <c r="J15"/>
      <c r="K15" s="352"/>
      <c r="AO15" s="5"/>
      <c r="AP15" s="5"/>
      <c r="AQ15" s="5"/>
      <c r="AR15" s="5"/>
      <c r="AS15" s="5"/>
      <c r="AT15" s="5"/>
      <c r="AU15" s="5"/>
      <c r="AV15" s="5"/>
      <c r="AW15" s="5"/>
    </row>
    <row r="16" spans="1:49" x14ac:dyDescent="0.2">
      <c r="A16" s="330"/>
      <c r="B16" s="251"/>
      <c r="C16" s="252"/>
      <c r="D16" s="252"/>
      <c r="G16" s="16"/>
      <c r="H16" s="16"/>
      <c r="I16" s="240"/>
      <c r="J16"/>
      <c r="K16" s="352"/>
      <c r="AO16" s="5"/>
      <c r="AP16" s="5"/>
      <c r="AQ16" s="5"/>
      <c r="AR16" s="5"/>
      <c r="AS16" s="5"/>
      <c r="AT16" s="5"/>
      <c r="AU16" s="5"/>
      <c r="AV16" s="5"/>
      <c r="AW16" s="5"/>
    </row>
    <row r="17" spans="1:49" x14ac:dyDescent="0.2">
      <c r="A17" s="330"/>
      <c r="B17" s="251"/>
      <c r="C17" s="252"/>
      <c r="D17" s="252"/>
      <c r="G17" s="16"/>
      <c r="H17" s="16"/>
      <c r="I17" s="240"/>
      <c r="J17"/>
      <c r="K17" s="352"/>
      <c r="AO17" s="5"/>
      <c r="AP17" s="5"/>
      <c r="AQ17" s="5"/>
      <c r="AR17" s="5"/>
      <c r="AS17" s="5"/>
      <c r="AT17" s="5"/>
      <c r="AU17" s="5"/>
      <c r="AV17" s="5"/>
      <c r="AW17" s="5"/>
    </row>
    <row r="18" spans="1:49" x14ac:dyDescent="0.2">
      <c r="A18" s="330"/>
      <c r="B18" s="251"/>
      <c r="C18" s="252"/>
      <c r="D18" s="252"/>
      <c r="G18" s="16"/>
      <c r="H18" s="16"/>
      <c r="I18" s="240"/>
      <c r="AO18" s="5"/>
      <c r="AP18" s="5"/>
      <c r="AQ18" s="5"/>
      <c r="AR18" s="5"/>
      <c r="AS18" s="5"/>
      <c r="AT18" s="5"/>
      <c r="AU18" s="5"/>
      <c r="AV18" s="5"/>
      <c r="AW18" s="5"/>
    </row>
    <row r="19" spans="1:49" ht="15.75" customHeight="1" x14ac:dyDescent="0.2">
      <c r="A19" s="330"/>
      <c r="B19" s="251"/>
      <c r="C19" s="252"/>
      <c r="D19" s="252"/>
      <c r="G19" s="16"/>
      <c r="H19" s="16"/>
      <c r="I19" s="240"/>
      <c r="J19" s="412" t="s">
        <v>171</v>
      </c>
      <c r="K19" s="413"/>
      <c r="AO19" s="5"/>
      <c r="AP19" s="5"/>
      <c r="AQ19" s="5"/>
      <c r="AR19" s="5"/>
      <c r="AS19" s="5"/>
      <c r="AT19" s="5"/>
      <c r="AU19" s="5"/>
      <c r="AV19" s="5"/>
      <c r="AW19" s="5"/>
    </row>
    <row r="20" spans="1:49" x14ac:dyDescent="0.2">
      <c r="A20" s="330"/>
      <c r="B20" s="251"/>
      <c r="C20" s="252"/>
      <c r="D20" s="252"/>
      <c r="G20" s="16"/>
      <c r="H20" s="16"/>
      <c r="I20" s="240"/>
      <c r="J20" s="414"/>
      <c r="K20" s="415"/>
      <c r="AO20" s="5"/>
      <c r="AP20" s="5"/>
      <c r="AQ20" s="5"/>
      <c r="AR20" s="5"/>
      <c r="AS20" s="5"/>
      <c r="AT20" s="5"/>
      <c r="AU20" s="5"/>
      <c r="AV20" s="5"/>
      <c r="AW20" s="5"/>
    </row>
    <row r="21" spans="1:49" x14ac:dyDescent="0.2">
      <c r="A21" s="330"/>
      <c r="B21" s="251"/>
      <c r="C21" s="252"/>
      <c r="D21" s="252"/>
      <c r="G21" s="16"/>
      <c r="H21" s="16"/>
      <c r="I21" s="240"/>
      <c r="J21" s="414"/>
      <c r="K21" s="415"/>
      <c r="AO21" s="5"/>
      <c r="AP21" s="5"/>
      <c r="AQ21" s="5"/>
      <c r="AR21" s="5"/>
      <c r="AS21" s="5"/>
      <c r="AT21" s="5"/>
      <c r="AU21" s="5"/>
      <c r="AV21" s="5"/>
      <c r="AW21" s="5"/>
    </row>
    <row r="22" spans="1:49" x14ac:dyDescent="0.2">
      <c r="A22" s="330"/>
      <c r="B22" s="251"/>
      <c r="C22" s="252"/>
      <c r="D22" s="252"/>
      <c r="G22" s="16"/>
      <c r="H22" s="16"/>
      <c r="I22" s="240"/>
      <c r="J22" s="414"/>
      <c r="K22" s="415"/>
      <c r="AO22" s="5"/>
      <c r="AP22" s="5"/>
      <c r="AQ22" s="5"/>
      <c r="AR22" s="5"/>
      <c r="AS22" s="5"/>
      <c r="AT22" s="5"/>
      <c r="AU22" s="5"/>
      <c r="AV22" s="5"/>
      <c r="AW22" s="5"/>
    </row>
    <row r="23" spans="1:49" ht="12.75" customHeight="1" x14ac:dyDescent="0.2">
      <c r="A23" s="330"/>
      <c r="B23" s="251"/>
      <c r="C23" s="252"/>
      <c r="D23" s="252"/>
      <c r="G23" s="16"/>
      <c r="H23" s="16"/>
      <c r="I23" s="240"/>
      <c r="J23" s="414"/>
      <c r="K23" s="415"/>
      <c r="AO23" s="5"/>
      <c r="AP23" s="5"/>
      <c r="AQ23" s="5"/>
      <c r="AR23" s="5"/>
      <c r="AS23" s="5"/>
      <c r="AT23" s="5"/>
      <c r="AU23" s="5"/>
      <c r="AV23" s="5"/>
      <c r="AW23" s="5"/>
    </row>
    <row r="24" spans="1:49" x14ac:dyDescent="0.2">
      <c r="A24" s="330"/>
      <c r="B24" s="251"/>
      <c r="C24" s="252"/>
      <c r="D24" s="252"/>
      <c r="G24" s="16"/>
      <c r="H24" s="16"/>
      <c r="I24" s="240"/>
      <c r="J24" s="414"/>
      <c r="K24" s="415"/>
      <c r="AO24" s="5"/>
      <c r="AP24" s="5"/>
      <c r="AQ24" s="5"/>
      <c r="AR24" s="5"/>
      <c r="AS24" s="5"/>
      <c r="AT24" s="5"/>
      <c r="AU24" s="5"/>
      <c r="AV24" s="5"/>
      <c r="AW24" s="5"/>
    </row>
    <row r="25" spans="1:49" x14ac:dyDescent="0.2">
      <c r="A25" s="330"/>
      <c r="B25" s="251"/>
      <c r="C25" s="252"/>
      <c r="D25" s="252"/>
      <c r="G25" s="16"/>
      <c r="H25" s="16"/>
      <c r="I25" s="240"/>
      <c r="J25" s="414"/>
      <c r="K25" s="415"/>
      <c r="AO25" s="5"/>
      <c r="AP25" s="5"/>
      <c r="AQ25" s="5"/>
      <c r="AR25" s="5"/>
      <c r="AS25" s="5"/>
      <c r="AT25" s="5"/>
      <c r="AU25" s="5"/>
      <c r="AV25" s="5"/>
      <c r="AW25" s="5"/>
    </row>
    <row r="26" spans="1:49" x14ac:dyDescent="0.2">
      <c r="A26" s="330"/>
      <c r="B26" s="251"/>
      <c r="C26" s="252"/>
      <c r="D26" s="252"/>
      <c r="G26" s="16"/>
      <c r="H26" s="16"/>
      <c r="I26" s="240"/>
      <c r="J26" s="416"/>
      <c r="K26" s="417"/>
      <c r="AO26" s="5"/>
      <c r="AP26" s="5"/>
      <c r="AQ26" s="5"/>
      <c r="AR26" s="5"/>
      <c r="AS26" s="5"/>
      <c r="AT26" s="5"/>
      <c r="AU26" s="5"/>
      <c r="AV26" s="5"/>
      <c r="AW26" s="5"/>
    </row>
    <row r="27" spans="1:49" x14ac:dyDescent="0.2">
      <c r="B27" s="254"/>
      <c r="C27" s="254"/>
      <c r="D27" s="253" t="s">
        <v>73</v>
      </c>
      <c r="E27" s="3">
        <v>57</v>
      </c>
      <c r="F27" s="19" t="s">
        <v>168</v>
      </c>
      <c r="G27" s="308">
        <f>E27/12</f>
        <v>4.75</v>
      </c>
      <c r="H27" s="69" t="s">
        <v>23</v>
      </c>
      <c r="I27" s="80"/>
      <c r="J27" s="76"/>
      <c r="K27" s="353"/>
      <c r="AO27" s="5"/>
      <c r="AP27" s="5"/>
      <c r="AQ27" s="5"/>
      <c r="AR27" s="5"/>
      <c r="AS27" s="5"/>
      <c r="AT27" s="5"/>
      <c r="AU27" s="5"/>
      <c r="AV27" s="5"/>
      <c r="AW27" s="5"/>
    </row>
    <row r="28" spans="1:49" ht="12.75" customHeight="1" x14ac:dyDescent="0.2">
      <c r="B28" s="254"/>
      <c r="C28" s="254"/>
      <c r="D28" s="253" t="s">
        <v>74</v>
      </c>
      <c r="E28" s="3">
        <v>15</v>
      </c>
      <c r="F28" s="19" t="s">
        <v>21</v>
      </c>
      <c r="G28" s="69"/>
      <c r="H28" s="69"/>
      <c r="I28" s="80"/>
      <c r="J28" s="76"/>
      <c r="K28" s="353"/>
      <c r="AO28" s="5"/>
      <c r="AP28" s="5"/>
      <c r="AQ28" s="5"/>
      <c r="AR28" s="5"/>
      <c r="AS28" s="5"/>
      <c r="AT28" s="5"/>
      <c r="AU28" s="5"/>
      <c r="AV28" s="5"/>
      <c r="AW28" s="5"/>
    </row>
    <row r="29" spans="1:49" x14ac:dyDescent="0.2">
      <c r="B29" s="254"/>
      <c r="C29" s="254"/>
      <c r="D29" s="253" t="s">
        <v>202</v>
      </c>
      <c r="E29" s="3">
        <v>8</v>
      </c>
      <c r="F29" s="19" t="s">
        <v>21</v>
      </c>
      <c r="G29" s="19"/>
      <c r="H29" s="19"/>
      <c r="I29" s="250"/>
      <c r="J29" s="76"/>
      <c r="K29" s="353"/>
      <c r="AO29" s="5"/>
      <c r="AP29" s="5"/>
      <c r="AQ29" s="5"/>
      <c r="AR29" s="5"/>
      <c r="AS29" s="5"/>
      <c r="AT29" s="5"/>
      <c r="AU29" s="5"/>
      <c r="AV29" s="5"/>
      <c r="AW29" s="5"/>
    </row>
    <row r="30" spans="1:49" x14ac:dyDescent="0.2">
      <c r="B30" s="254"/>
      <c r="C30" s="254"/>
      <c r="D30" s="253" t="s">
        <v>75</v>
      </c>
      <c r="E30" s="3">
        <v>22</v>
      </c>
      <c r="F30" s="19" t="s">
        <v>21</v>
      </c>
      <c r="G30" s="69"/>
      <c r="H30" s="69"/>
      <c r="I30" s="80"/>
      <c r="J30" s="76"/>
      <c r="K30" s="353"/>
      <c r="AO30" s="5"/>
      <c r="AP30" s="5"/>
      <c r="AQ30" s="5"/>
      <c r="AR30" s="5"/>
      <c r="AS30" s="5"/>
      <c r="AT30" s="5"/>
      <c r="AU30" s="5"/>
      <c r="AV30" s="5"/>
      <c r="AW30" s="5"/>
    </row>
    <row r="31" spans="1:49" ht="15.75" x14ac:dyDescent="0.3">
      <c r="B31" s="254"/>
      <c r="C31" s="254"/>
      <c r="D31" s="253" t="s">
        <v>110</v>
      </c>
      <c r="E31" s="3">
        <v>8</v>
      </c>
      <c r="F31" s="19" t="s">
        <v>21</v>
      </c>
      <c r="G31" s="69"/>
      <c r="H31" s="69"/>
      <c r="I31" s="80"/>
      <c r="J31" s="76"/>
      <c r="K31" s="353"/>
      <c r="AO31" s="5"/>
      <c r="AP31" s="5"/>
      <c r="AQ31" s="5"/>
      <c r="AR31" s="5"/>
      <c r="AS31" s="5"/>
      <c r="AT31" s="5"/>
      <c r="AU31" s="5"/>
      <c r="AV31" s="5"/>
      <c r="AW31" s="5"/>
    </row>
    <row r="32" spans="1:49" x14ac:dyDescent="0.2">
      <c r="A32" s="331"/>
      <c r="B32" s="69"/>
      <c r="C32" s="69"/>
      <c r="D32" s="363"/>
      <c r="F32" s="69"/>
      <c r="G32" s="69"/>
      <c r="H32" s="69"/>
      <c r="I32" s="80"/>
      <c r="J32" s="76"/>
      <c r="K32" s="353"/>
      <c r="AO32" s="5"/>
      <c r="AP32" s="5"/>
      <c r="AQ32" s="5"/>
      <c r="AR32" s="5"/>
      <c r="AS32" s="5"/>
      <c r="AT32" s="5"/>
      <c r="AU32" s="5"/>
      <c r="AV32" s="5"/>
      <c r="AW32" s="5"/>
    </row>
    <row r="33" spans="1:62" ht="12.75" customHeight="1" x14ac:dyDescent="0.2">
      <c r="B33" s="254"/>
      <c r="C33" s="254"/>
      <c r="D33" s="253" t="s">
        <v>71</v>
      </c>
      <c r="E33" s="3">
        <v>3</v>
      </c>
      <c r="F33" s="19" t="s">
        <v>21</v>
      </c>
      <c r="G33" s="69"/>
      <c r="H33" s="69"/>
      <c r="I33" s="80"/>
      <c r="J33" s="424" t="s">
        <v>39</v>
      </c>
      <c r="K33" s="425"/>
      <c r="AO33" s="5"/>
      <c r="AP33" s="5"/>
      <c r="AQ33" s="5"/>
      <c r="AR33" s="5"/>
      <c r="AS33" s="5"/>
      <c r="AT33" s="5"/>
      <c r="AU33" s="5"/>
      <c r="AV33" s="5"/>
      <c r="AW33" s="5"/>
    </row>
    <row r="34" spans="1:62" x14ac:dyDescent="0.2">
      <c r="B34" s="254"/>
      <c r="C34" s="254"/>
      <c r="D34" s="253" t="s">
        <v>72</v>
      </c>
      <c r="E34" s="3">
        <v>0</v>
      </c>
      <c r="F34" s="19" t="s">
        <v>21</v>
      </c>
      <c r="G34" s="69"/>
      <c r="H34" s="69"/>
      <c r="I34" s="80"/>
      <c r="J34" s="426"/>
      <c r="K34" s="427"/>
      <c r="AO34" s="5"/>
      <c r="AP34" s="5"/>
      <c r="AQ34" s="5"/>
      <c r="AR34" s="5"/>
      <c r="AS34" s="5"/>
      <c r="AT34" s="5"/>
      <c r="AU34" s="5"/>
      <c r="AV34" s="5"/>
      <c r="AW34" s="5"/>
    </row>
    <row r="35" spans="1:62" x14ac:dyDescent="0.2">
      <c r="A35" s="331"/>
      <c r="B35" s="69"/>
      <c r="C35" s="25"/>
      <c r="D35" s="25"/>
      <c r="E35" s="5"/>
      <c r="F35" s="19"/>
      <c r="G35" s="69"/>
      <c r="H35" s="69"/>
      <c r="I35" s="80"/>
      <c r="J35" s="426"/>
      <c r="K35" s="427"/>
      <c r="AO35" s="5"/>
      <c r="AP35" s="5"/>
      <c r="AQ35" s="5"/>
      <c r="AR35" s="5"/>
      <c r="AS35" s="5"/>
      <c r="AT35" s="5"/>
      <c r="AU35" s="5"/>
      <c r="AV35" s="5"/>
      <c r="AW35" s="5"/>
    </row>
    <row r="36" spans="1:62" ht="15.75" x14ac:dyDescent="0.3">
      <c r="A36" s="331"/>
      <c r="B36" s="69"/>
      <c r="C36" s="437" t="s">
        <v>111</v>
      </c>
      <c r="D36" s="437"/>
      <c r="E36" s="3">
        <v>3000</v>
      </c>
      <c r="F36" s="19" t="s">
        <v>20</v>
      </c>
      <c r="G36" s="69"/>
      <c r="H36" s="69"/>
      <c r="I36" s="80"/>
      <c r="J36" s="428"/>
      <c r="K36" s="429"/>
      <c r="AO36" s="5"/>
      <c r="AP36" s="5"/>
      <c r="AQ36" s="5"/>
      <c r="AR36" s="5"/>
      <c r="AS36" s="5"/>
      <c r="AT36" s="5"/>
      <c r="AU36" s="5"/>
      <c r="AV36" s="5"/>
      <c r="AW36" s="5"/>
    </row>
    <row r="37" spans="1:62" ht="12.75" customHeight="1" x14ac:dyDescent="0.3">
      <c r="A37" s="331"/>
      <c r="B37" s="69"/>
      <c r="C37" s="25"/>
      <c r="D37" s="25" t="s">
        <v>112</v>
      </c>
      <c r="E37" s="3">
        <v>60</v>
      </c>
      <c r="F37" s="19" t="s">
        <v>37</v>
      </c>
      <c r="G37" s="69"/>
      <c r="H37" s="69"/>
      <c r="I37" s="80"/>
      <c r="J37"/>
      <c r="K37" s="352"/>
      <c r="AO37" s="5"/>
      <c r="AP37" s="5"/>
      <c r="AQ37" s="5"/>
      <c r="AR37" s="5"/>
      <c r="AS37" s="5"/>
      <c r="AT37" s="5"/>
      <c r="AU37" s="5"/>
      <c r="AV37" s="5"/>
      <c r="AW37" s="5"/>
    </row>
    <row r="38" spans="1:62" x14ac:dyDescent="0.2">
      <c r="A38" s="331"/>
      <c r="B38" s="69"/>
      <c r="C38" s="69"/>
      <c r="D38" s="254" t="s">
        <v>69</v>
      </c>
      <c r="E38" s="3">
        <v>3</v>
      </c>
      <c r="F38" s="19" t="s">
        <v>21</v>
      </c>
      <c r="G38" s="69"/>
      <c r="H38" s="69"/>
      <c r="I38" s="80"/>
      <c r="J38"/>
      <c r="K38" s="352"/>
      <c r="AO38" s="5"/>
      <c r="AP38" s="5"/>
      <c r="AQ38" s="5"/>
      <c r="AR38" s="5"/>
      <c r="AS38" s="5"/>
      <c r="AT38" s="5"/>
      <c r="AU38" s="5"/>
      <c r="AV38" s="5"/>
      <c r="AW38" s="5"/>
    </row>
    <row r="39" spans="1:62" x14ac:dyDescent="0.2">
      <c r="A39" s="331"/>
      <c r="B39" s="69"/>
      <c r="C39" s="437" t="s">
        <v>70</v>
      </c>
      <c r="D39" s="437"/>
      <c r="E39" s="3">
        <v>1.6</v>
      </c>
      <c r="F39" s="19"/>
      <c r="G39" s="69"/>
      <c r="H39" s="69"/>
      <c r="I39" s="80"/>
      <c r="J39"/>
      <c r="K39" s="352"/>
      <c r="AO39" s="5"/>
      <c r="AP39" s="5"/>
      <c r="AQ39" s="5"/>
      <c r="AR39" s="5"/>
      <c r="AS39" s="5"/>
      <c r="AT39" s="5"/>
      <c r="AU39" s="5"/>
      <c r="AV39" s="5"/>
      <c r="AW39" s="5"/>
    </row>
    <row r="40" spans="1:62" x14ac:dyDescent="0.2">
      <c r="A40" s="332"/>
      <c r="B40" s="168"/>
      <c r="C40" s="166"/>
      <c r="D40" s="168"/>
      <c r="E40" s="155"/>
      <c r="F40" s="168"/>
      <c r="G40" s="168"/>
      <c r="H40" s="168"/>
      <c r="I40" s="249"/>
      <c r="J40"/>
      <c r="K40" s="352"/>
      <c r="AO40" s="5"/>
      <c r="AP40" s="5"/>
      <c r="AQ40" s="5"/>
      <c r="AR40" s="5"/>
      <c r="AS40" s="5"/>
      <c r="AT40" s="5"/>
      <c r="AU40" s="5"/>
      <c r="AV40" s="5"/>
      <c r="AW40" s="5"/>
    </row>
    <row r="41" spans="1:62" x14ac:dyDescent="0.2">
      <c r="A41" s="333" t="s">
        <v>46</v>
      </c>
      <c r="C41" s="21"/>
      <c r="D41" s="69"/>
      <c r="E41" s="69"/>
      <c r="F41" s="69"/>
      <c r="G41" s="69"/>
      <c r="H41" s="69"/>
      <c r="I41" s="80"/>
      <c r="J41"/>
      <c r="K41" s="352"/>
      <c r="AO41" s="5"/>
      <c r="AP41" s="5"/>
      <c r="AQ41" s="5"/>
      <c r="AR41" s="5"/>
      <c r="AS41" s="5"/>
      <c r="AT41" s="5"/>
      <c r="AU41" s="5"/>
      <c r="AV41" s="5"/>
      <c r="AW41" s="5"/>
    </row>
    <row r="42" spans="1:62" ht="15.75" x14ac:dyDescent="0.3">
      <c r="A42" s="334"/>
      <c r="B42" s="73" t="s">
        <v>151</v>
      </c>
      <c r="C42" s="73" t="s">
        <v>150</v>
      </c>
      <c r="D42" s="69"/>
      <c r="E42" s="69"/>
      <c r="F42" s="69"/>
      <c r="G42" s="69"/>
      <c r="H42" s="69"/>
      <c r="I42" s="80"/>
      <c r="J42"/>
      <c r="K42" s="352"/>
      <c r="AO42" s="5"/>
      <c r="AP42" s="5"/>
      <c r="AQ42" s="5"/>
      <c r="AR42" s="5"/>
      <c r="AS42" s="5"/>
      <c r="AT42" s="5"/>
      <c r="AU42" s="5"/>
      <c r="AV42" s="5"/>
      <c r="AW42" s="5"/>
    </row>
    <row r="43" spans="1:62" x14ac:dyDescent="0.2">
      <c r="A43" s="331"/>
      <c r="B43" s="165">
        <v>0</v>
      </c>
      <c r="C43" s="165">
        <v>0</v>
      </c>
      <c r="D43" s="69"/>
      <c r="E43" s="69"/>
      <c r="F43" s="69"/>
      <c r="G43" s="69"/>
      <c r="H43" s="69"/>
      <c r="I43" s="80"/>
      <c r="J43"/>
      <c r="K43" s="352"/>
      <c r="AO43" s="5"/>
      <c r="AP43" s="5"/>
      <c r="AQ43" s="5"/>
      <c r="AR43" s="5"/>
      <c r="AS43" s="5"/>
      <c r="AT43" s="5"/>
      <c r="AU43" s="5"/>
      <c r="AV43" s="5"/>
      <c r="AW43" s="5"/>
    </row>
    <row r="44" spans="1:62" s="72" customFormat="1" ht="12.75" customHeight="1" x14ac:dyDescent="0.2">
      <c r="A44" s="331"/>
      <c r="B44" s="242"/>
      <c r="C44" s="242"/>
      <c r="D44" s="69"/>
      <c r="E44" s="69"/>
      <c r="F44" s="69"/>
      <c r="G44" s="19"/>
      <c r="H44" s="69"/>
      <c r="I44" s="80"/>
      <c r="J44"/>
      <c r="K44" s="352"/>
      <c r="L44" s="196"/>
      <c r="M44" s="390" t="s">
        <v>256</v>
      </c>
      <c r="N44" s="390"/>
      <c r="O44" s="390"/>
      <c r="P44" s="390"/>
      <c r="Q44" s="390"/>
      <c r="R44" s="390"/>
      <c r="S44" s="390"/>
      <c r="T44" s="294"/>
      <c r="U44" s="294"/>
      <c r="V44" s="294"/>
      <c r="W44" s="294"/>
      <c r="X44" s="294"/>
      <c r="Y44" s="208"/>
      <c r="Z44" s="208"/>
      <c r="AA44" s="208"/>
      <c r="AB44" s="208"/>
      <c r="AC44" s="208"/>
      <c r="AD44" s="208"/>
      <c r="AE44" s="70"/>
      <c r="AF44" s="70"/>
      <c r="AG44" s="70"/>
      <c r="AH44" s="70"/>
      <c r="AI44" s="70"/>
      <c r="AJ44" s="70"/>
      <c r="AK44" s="70"/>
      <c r="AL44" s="70"/>
      <c r="AM44" s="70"/>
      <c r="AN44" s="70"/>
    </row>
    <row r="45" spans="1:62" ht="15.75" x14ac:dyDescent="0.3">
      <c r="A45" s="333" t="s">
        <v>8</v>
      </c>
      <c r="E45" s="112" t="s">
        <v>149</v>
      </c>
      <c r="F45" s="74">
        <v>12</v>
      </c>
      <c r="G45" s="242"/>
      <c r="H45" s="19"/>
      <c r="I45" s="250"/>
      <c r="J45"/>
      <c r="K45" s="352"/>
      <c r="M45" s="390"/>
      <c r="N45" s="390"/>
      <c r="O45" s="390"/>
      <c r="P45" s="390"/>
      <c r="Q45" s="390"/>
      <c r="R45" s="390"/>
      <c r="S45" s="390"/>
      <c r="AB45"/>
      <c r="AC45"/>
      <c r="AL45" s="5"/>
      <c r="AM45" s="5"/>
      <c r="AN45" s="5"/>
      <c r="AO45" s="5"/>
      <c r="AP45" s="5"/>
      <c r="AQ45" s="5"/>
      <c r="AR45" s="5"/>
      <c r="AS45" s="5"/>
      <c r="AT45" s="5"/>
      <c r="AU45" s="5"/>
      <c r="AV45" s="5"/>
      <c r="AW45" s="5"/>
    </row>
    <row r="46" spans="1:62" s="72" customFormat="1" x14ac:dyDescent="0.2">
      <c r="A46" s="335"/>
      <c r="B46" s="71"/>
      <c r="C46" s="71"/>
      <c r="D46" s="71"/>
      <c r="E46" s="112" t="s">
        <v>257</v>
      </c>
      <c r="F46" s="235">
        <v>50</v>
      </c>
      <c r="G46" s="19"/>
      <c r="H46" s="19"/>
      <c r="I46" s="260"/>
      <c r="J46"/>
      <c r="K46" s="352"/>
      <c r="L46" s="196"/>
      <c r="M46" s="390"/>
      <c r="N46" s="390"/>
      <c r="O46" s="390"/>
      <c r="P46" s="390"/>
      <c r="Q46" s="390"/>
      <c r="R46" s="390"/>
      <c r="S46" s="390"/>
      <c r="T46" s="294"/>
      <c r="U46" s="294"/>
      <c r="V46" s="294"/>
      <c r="W46" s="294"/>
      <c r="X46" s="294"/>
      <c r="Y46" s="208"/>
      <c r="Z46" s="208"/>
      <c r="AA46" s="208"/>
      <c r="AB46"/>
      <c r="AC46"/>
      <c r="AD46" s="208"/>
      <c r="AE46" s="70"/>
      <c r="AF46" s="70"/>
      <c r="AG46" s="70"/>
      <c r="AH46" s="70"/>
      <c r="AI46" s="70"/>
      <c r="AJ46" s="70"/>
    </row>
    <row r="47" spans="1:62" s="205" customFormat="1" ht="15" x14ac:dyDescent="0.25">
      <c r="A47" s="336"/>
      <c r="B47" s="391" t="s">
        <v>65</v>
      </c>
      <c r="C47" s="474"/>
      <c r="D47" s="474"/>
      <c r="E47" s="247"/>
      <c r="F47" s="248"/>
      <c r="G47" s="391" t="s">
        <v>203</v>
      </c>
      <c r="H47" s="391"/>
      <c r="I47" s="391"/>
      <c r="J47" s="206"/>
      <c r="K47" s="354"/>
      <c r="L47" s="207">
        <v>20</v>
      </c>
      <c r="M47" s="243"/>
      <c r="N47" s="243"/>
      <c r="O47" s="297" t="s">
        <v>234</v>
      </c>
      <c r="P47" s="298"/>
      <c r="Q47" s="295" t="s">
        <v>237</v>
      </c>
      <c r="R47" s="294"/>
      <c r="S47" s="295" t="s">
        <v>238</v>
      </c>
      <c r="T47" s="294"/>
      <c r="U47" s="295" t="s">
        <v>239</v>
      </c>
      <c r="V47" s="294"/>
      <c r="W47" s="295" t="s">
        <v>240</v>
      </c>
      <c r="X47" s="294"/>
      <c r="Y47" s="211" t="s">
        <v>241</v>
      </c>
      <c r="Z47" s="208"/>
      <c r="AA47" s="209" t="s">
        <v>230</v>
      </c>
      <c r="AB47" s="208"/>
      <c r="AC47" s="211" t="s">
        <v>242</v>
      </c>
      <c r="AD47" s="212"/>
      <c r="AE47" s="209" t="s">
        <v>243</v>
      </c>
      <c r="AF47" s="208"/>
      <c r="AG47" s="211" t="s">
        <v>244</v>
      </c>
      <c r="AH47" s="208"/>
      <c r="AI47" s="209" t="s">
        <v>232</v>
      </c>
      <c r="AJ47" s="208"/>
      <c r="AK47" s="211" t="s">
        <v>245</v>
      </c>
      <c r="AL47" s="208"/>
      <c r="AM47" s="209" t="s">
        <v>246</v>
      </c>
      <c r="AN47" s="208"/>
      <c r="AO47" s="211" t="s">
        <v>247</v>
      </c>
      <c r="AP47" s="208"/>
      <c r="AQ47" s="209" t="s">
        <v>248</v>
      </c>
      <c r="AR47" s="208"/>
      <c r="AS47" s="211" t="s">
        <v>249</v>
      </c>
      <c r="AT47" s="208"/>
      <c r="AU47" s="205" t="s">
        <v>250</v>
      </c>
      <c r="AW47" s="205" t="s">
        <v>251</v>
      </c>
      <c r="AY47" s="205" t="s">
        <v>231</v>
      </c>
      <c r="BA47" s="205" t="s">
        <v>252</v>
      </c>
      <c r="BC47" s="205" t="s">
        <v>253</v>
      </c>
      <c r="BE47" s="205" t="s">
        <v>254</v>
      </c>
      <c r="BG47" s="205" t="s">
        <v>255</v>
      </c>
      <c r="BI47" s="205" t="s">
        <v>259</v>
      </c>
    </row>
    <row r="48" spans="1:62" x14ac:dyDescent="0.2">
      <c r="A48" s="331"/>
      <c r="B48" s="203" t="s">
        <v>108</v>
      </c>
      <c r="C48" s="203" t="s">
        <v>107</v>
      </c>
      <c r="D48" s="203" t="s">
        <v>204</v>
      </c>
      <c r="E48" s="69"/>
      <c r="F48" s="19"/>
      <c r="G48" s="204" t="s">
        <v>108</v>
      </c>
      <c r="H48" s="204" t="s">
        <v>107</v>
      </c>
      <c r="I48" s="204" t="s">
        <v>204</v>
      </c>
      <c r="M48" s="296" t="s">
        <v>235</v>
      </c>
      <c r="N48" s="296" t="s">
        <v>236</v>
      </c>
      <c r="O48" s="294" t="s">
        <v>228</v>
      </c>
      <c r="P48" s="294" t="s">
        <v>229</v>
      </c>
      <c r="Q48" s="294" t="s">
        <v>228</v>
      </c>
      <c r="R48" s="294" t="s">
        <v>229</v>
      </c>
      <c r="S48" s="294" t="s">
        <v>228</v>
      </c>
      <c r="T48" s="294" t="s">
        <v>229</v>
      </c>
      <c r="U48" s="294" t="s">
        <v>228</v>
      </c>
      <c r="V48" s="294" t="s">
        <v>229</v>
      </c>
      <c r="W48" s="294" t="s">
        <v>228</v>
      </c>
      <c r="X48" s="294" t="s">
        <v>229</v>
      </c>
      <c r="Y48" s="208" t="s">
        <v>228</v>
      </c>
      <c r="Z48" s="208" t="s">
        <v>229</v>
      </c>
      <c r="AA48" s="228" t="s">
        <v>228</v>
      </c>
      <c r="AB48" s="228" t="s">
        <v>229</v>
      </c>
      <c r="AC48" s="208" t="s">
        <v>228</v>
      </c>
      <c r="AD48" s="208" t="s">
        <v>229</v>
      </c>
      <c r="AE48" s="228" t="s">
        <v>228</v>
      </c>
      <c r="AF48" s="228" t="s">
        <v>229</v>
      </c>
      <c r="AG48" s="208" t="s">
        <v>228</v>
      </c>
      <c r="AH48" s="208" t="s">
        <v>229</v>
      </c>
      <c r="AI48" s="208" t="s">
        <v>228</v>
      </c>
      <c r="AJ48" s="208" t="s">
        <v>229</v>
      </c>
      <c r="AK48" s="208" t="s">
        <v>228</v>
      </c>
      <c r="AL48" s="208" t="s">
        <v>229</v>
      </c>
      <c r="AM48" s="208" t="s">
        <v>228</v>
      </c>
      <c r="AN48" s="208" t="s">
        <v>229</v>
      </c>
      <c r="AO48" s="208" t="s">
        <v>228</v>
      </c>
      <c r="AP48" s="208" t="s">
        <v>229</v>
      </c>
      <c r="AQ48" s="208" t="s">
        <v>228</v>
      </c>
      <c r="AR48" s="208" t="s">
        <v>229</v>
      </c>
      <c r="AS48" s="208" t="s">
        <v>228</v>
      </c>
      <c r="AT48" s="208" t="s">
        <v>229</v>
      </c>
      <c r="AU48" s="208" t="s">
        <v>228</v>
      </c>
      <c r="AV48" s="208" t="s">
        <v>229</v>
      </c>
      <c r="AW48" s="208" t="s">
        <v>228</v>
      </c>
      <c r="AX48" s="208" t="s">
        <v>229</v>
      </c>
      <c r="AY48" s="208" t="s">
        <v>228</v>
      </c>
      <c r="AZ48" s="208" t="s">
        <v>229</v>
      </c>
      <c r="BA48" s="208" t="s">
        <v>228</v>
      </c>
      <c r="BB48" s="208" t="s">
        <v>229</v>
      </c>
      <c r="BC48" s="228" t="s">
        <v>228</v>
      </c>
      <c r="BD48" s="228" t="s">
        <v>229</v>
      </c>
      <c r="BE48" s="208" t="s">
        <v>228</v>
      </c>
      <c r="BF48" s="208" t="s">
        <v>229</v>
      </c>
      <c r="BG48" s="228" t="s">
        <v>228</v>
      </c>
      <c r="BH48" s="228" t="s">
        <v>229</v>
      </c>
      <c r="BI48" s="228" t="s">
        <v>228</v>
      </c>
      <c r="BJ48" s="228" t="s">
        <v>229</v>
      </c>
    </row>
    <row r="49" spans="1:62" x14ac:dyDescent="0.2">
      <c r="A49" s="337">
        <v>1</v>
      </c>
      <c r="B49" s="127">
        <f ca="1">IF(ISNUMBER(G49), G49, INDIRECT(VLOOKUP(np,npTable[],2) &amp;"[Column1]"))</f>
        <v>-4.5</v>
      </c>
      <c r="C49" s="127">
        <f ca="1">IF(ISNUMBER(H49), H49, INDIRECT(VLOOKUP(np,npTable[],2) &amp;"[Column2]"))</f>
        <v>-3</v>
      </c>
      <c r="D49" s="130">
        <f t="shared" ref="D49:D73" si="0">IF(A49&lt;=np,IF(ISNUMBER(I49), I49,2*$F$46),0)</f>
        <v>100</v>
      </c>
      <c r="E49" s="69"/>
      <c r="F49" s="19"/>
      <c r="G49" s="136"/>
      <c r="H49" s="131"/>
      <c r="I49" s="131"/>
      <c r="K49" s="352"/>
      <c r="M49" s="299">
        <v>2</v>
      </c>
      <c r="N49" s="296" t="s">
        <v>234</v>
      </c>
      <c r="O49" s="300">
        <f>x0-L/2</f>
        <v>-1.5</v>
      </c>
      <c r="P49" s="300">
        <f>y0</f>
        <v>0</v>
      </c>
      <c r="Q49" s="300">
        <f>x0-L/2</f>
        <v>-1.5</v>
      </c>
      <c r="R49" s="300">
        <f>x0-L/2*TAN(RADIANS(30))</f>
        <v>-0.8660254037844386</v>
      </c>
      <c r="S49" s="300">
        <f>x0-L/2</f>
        <v>-1.5</v>
      </c>
      <c r="T49" s="300">
        <f>y0-L/2</f>
        <v>-1.5</v>
      </c>
      <c r="U49" s="300">
        <f>x0-L*COS(RADIANS(45))</f>
        <v>-2.1213203435596428</v>
      </c>
      <c r="V49" s="300">
        <f>y0-L*COS(RADIANS(45))</f>
        <v>-2.1213203435596428</v>
      </c>
      <c r="W49" s="300">
        <f>x0-L</f>
        <v>-3</v>
      </c>
      <c r="X49" s="300">
        <f>y0-L/2</f>
        <v>-1.5</v>
      </c>
      <c r="Y49" s="234">
        <f>x0-L/2</f>
        <v>-1.5</v>
      </c>
      <c r="Z49" s="234">
        <f>y0-L/2*TAN(RADIANS(60))</f>
        <v>-2.5980762113533151</v>
      </c>
      <c r="AA49" s="228">
        <f>x0-L</f>
        <v>-3</v>
      </c>
      <c r="AB49" s="228">
        <f>y0-L/2*TAN(RADIANS(60))</f>
        <v>-2.5980762113533151</v>
      </c>
      <c r="AC49" s="234">
        <f>x0-L</f>
        <v>-3</v>
      </c>
      <c r="AD49" s="234">
        <f>y0-L</f>
        <v>-3</v>
      </c>
      <c r="AE49" s="228">
        <f>x0-L</f>
        <v>-3</v>
      </c>
      <c r="AF49" s="228">
        <f>y0-L/2*TAN(RADIANS(60))</f>
        <v>-2.5980762113533151</v>
      </c>
      <c r="AG49" s="234">
        <f>x0-3/2*L</f>
        <v>-4.5</v>
      </c>
      <c r="AH49" s="234">
        <f>y0-L/2*TAN(RADIANS(60))</f>
        <v>-2.5980762113533151</v>
      </c>
      <c r="AI49" s="234">
        <f>x0-3/2*L</f>
        <v>-4.5</v>
      </c>
      <c r="AJ49" s="234">
        <f>y0-L</f>
        <v>-3</v>
      </c>
      <c r="AK49" s="234">
        <f>x0-L*TAN(RADIANS(60))</f>
        <v>-5.1961524227066302</v>
      </c>
      <c r="AL49" s="234">
        <f>y0-L</f>
        <v>-3</v>
      </c>
      <c r="AM49" s="234">
        <f>x0-L</f>
        <v>-3</v>
      </c>
      <c r="AN49" s="234">
        <f>y0-L/2*(1+TAN(RADIANS(60)))</f>
        <v>-4.0980762113533151</v>
      </c>
      <c r="AO49" s="234">
        <f>x0-L/2*TAN(RADIANS(60))</f>
        <v>-2.5980762113533151</v>
      </c>
      <c r="AP49" s="234">
        <f>y0-L*3/2</f>
        <v>-4.5</v>
      </c>
      <c r="AQ49" s="234">
        <f>x0-3/2*L</f>
        <v>-4.5</v>
      </c>
      <c r="AR49" s="234">
        <f>y0-L*3/2</f>
        <v>-4.5</v>
      </c>
      <c r="AS49" s="234">
        <f>x0-L/2*TAN(RADIANS(60))</f>
        <v>-2.5980762113533151</v>
      </c>
      <c r="AT49" s="234">
        <f>y0-L*3/2</f>
        <v>-4.5</v>
      </c>
      <c r="AU49" s="234">
        <f>x0-L*TAN(RADIANS(60))</f>
        <v>-5.1961524227066302</v>
      </c>
      <c r="AV49" s="234">
        <f>y0-3/2*L</f>
        <v>-4.5</v>
      </c>
      <c r="AW49" s="234">
        <f>x0-L*(1+1/2*TAN(RADIANS(60)))</f>
        <v>-5.5980762113533151</v>
      </c>
      <c r="AX49" s="234">
        <f>y0-3/2*L</f>
        <v>-4.5</v>
      </c>
      <c r="AY49" s="234">
        <f>x0-2*L</f>
        <v>-6</v>
      </c>
      <c r="AZ49" s="234">
        <f>y0-3/2*L</f>
        <v>-4.5</v>
      </c>
      <c r="BA49" s="234">
        <f>x0-L/2</f>
        <v>-1.5</v>
      </c>
      <c r="BB49" s="234">
        <f>y0-L*(1+1/2*TAN(RADIANS(60)))</f>
        <v>-5.5980762113533151</v>
      </c>
      <c r="BC49" s="228">
        <f>x0-3/2*L</f>
        <v>-4.5</v>
      </c>
      <c r="BD49" s="228">
        <f>y0-L*TAN(RADIANS(60))</f>
        <v>-5.1961524227066302</v>
      </c>
      <c r="BE49" s="228">
        <f>x0-3/2*L</f>
        <v>-4.5</v>
      </c>
      <c r="BF49" s="234">
        <f>y0-L*(1+1/2*TAN(RADIANS(60)))</f>
        <v>-5.5980762113533151</v>
      </c>
      <c r="BG49" s="228">
        <f>x0-2*L</f>
        <v>-6</v>
      </c>
      <c r="BH49" s="228">
        <f>y0-L*(1+1/2*TAN(RADIANS(60)))</f>
        <v>-5.5980762113533151</v>
      </c>
      <c r="BI49" s="228">
        <f>x0-2*L</f>
        <v>-6</v>
      </c>
      <c r="BJ49" s="228">
        <f>y0-L*(1+1/2*TAN(RADIANS(60)))</f>
        <v>-5.5980762113533151</v>
      </c>
    </row>
    <row r="50" spans="1:62" x14ac:dyDescent="0.2">
      <c r="A50" s="337">
        <v>2</v>
      </c>
      <c r="B50" s="127">
        <f ca="1">IF(ISNUMBER(G50), G50, INDIRECT(VLOOKUP(np,npTable[],2) &amp;"[Column1]"))</f>
        <v>-1.5</v>
      </c>
      <c r="C50" s="127">
        <f ca="1">INDIRECT(VLOOKUP(np,npTable[],2) &amp;"[Column2]")</f>
        <v>-3</v>
      </c>
      <c r="D50" s="130">
        <f t="shared" si="0"/>
        <v>100</v>
      </c>
      <c r="E50" s="69"/>
      <c r="F50" s="19"/>
      <c r="G50" s="137"/>
      <c r="H50" s="132"/>
      <c r="I50" s="132"/>
      <c r="J50"/>
      <c r="K50" s="352"/>
      <c r="M50" s="299">
        <v>3</v>
      </c>
      <c r="N50" s="296" t="s">
        <v>237</v>
      </c>
      <c r="O50" s="300">
        <f>x0+L/2</f>
        <v>1.5</v>
      </c>
      <c r="P50" s="300">
        <f>y0</f>
        <v>0</v>
      </c>
      <c r="Q50" s="300">
        <f>x0+L/2</f>
        <v>1.5</v>
      </c>
      <c r="R50" s="300">
        <f>x0-L/2*TAN(RADIANS(30))</f>
        <v>-0.8660254037844386</v>
      </c>
      <c r="S50" s="300">
        <f>x0+L/2</f>
        <v>1.5</v>
      </c>
      <c r="T50" s="300">
        <f>y0-L/2</f>
        <v>-1.5</v>
      </c>
      <c r="U50" s="300">
        <f>x0+L*COS(RADIANS(45))</f>
        <v>2.1213203435596428</v>
      </c>
      <c r="V50" s="300">
        <f>y0-L*COS(RADIANS(45))</f>
        <v>-2.1213203435596428</v>
      </c>
      <c r="W50" s="300">
        <f>x0</f>
        <v>0</v>
      </c>
      <c r="X50" s="300">
        <f>y0-L/2</f>
        <v>-1.5</v>
      </c>
      <c r="Y50" s="234">
        <f>x0+L/2</f>
        <v>1.5</v>
      </c>
      <c r="Z50" s="234">
        <f>y0-L/2*TAN(RADIANS(60))</f>
        <v>-2.5980762113533151</v>
      </c>
      <c r="AA50" s="228">
        <f>x0</f>
        <v>0</v>
      </c>
      <c r="AB50" s="228">
        <f>y0-L/2*TAN(RADIANS(60))</f>
        <v>-2.5980762113533151</v>
      </c>
      <c r="AC50" s="234">
        <f>x0</f>
        <v>0</v>
      </c>
      <c r="AD50" s="234">
        <f>y0-L</f>
        <v>-3</v>
      </c>
      <c r="AE50" s="228">
        <f>x0</f>
        <v>0</v>
      </c>
      <c r="AF50" s="228">
        <f>y0-L/2*TAN(RADIANS(60))</f>
        <v>-2.5980762113533151</v>
      </c>
      <c r="AG50" s="234">
        <f>x0-L/2</f>
        <v>-1.5</v>
      </c>
      <c r="AH50" s="234">
        <f>y0-L/2*TAN(RADIANS(60))</f>
        <v>-2.5980762113533151</v>
      </c>
      <c r="AI50" s="234">
        <f>x0-L/2</f>
        <v>-1.5</v>
      </c>
      <c r="AJ50" s="234">
        <f>y0-L</f>
        <v>-3</v>
      </c>
      <c r="AK50" s="234">
        <v>0</v>
      </c>
      <c r="AL50" s="234">
        <f>y0-L</f>
        <v>-3</v>
      </c>
      <c r="AM50" s="234">
        <f>x0</f>
        <v>0</v>
      </c>
      <c r="AN50" s="234">
        <f>y0-L/2*(1+TAN(RADIANS(60)))</f>
        <v>-4.0980762113533151</v>
      </c>
      <c r="AO50" s="234">
        <f>x0+L/2*TAN(RADIANS(60))</f>
        <v>2.5980762113533151</v>
      </c>
      <c r="AP50" s="234">
        <f>y0-L*3/2</f>
        <v>-4.5</v>
      </c>
      <c r="AQ50" s="234">
        <f>x0-L/2</f>
        <v>-1.5</v>
      </c>
      <c r="AR50" s="234">
        <f>y0-L*3/2</f>
        <v>-4.5</v>
      </c>
      <c r="AS50" s="234">
        <f>x0+L/2*TAN(RADIANS(60))</f>
        <v>2.5980762113533151</v>
      </c>
      <c r="AT50" s="234">
        <f>y0-L*3/2</f>
        <v>-4.5</v>
      </c>
      <c r="AU50" s="234">
        <f>x0</f>
        <v>0</v>
      </c>
      <c r="AV50" s="234">
        <f>y0-3/2*L</f>
        <v>-4.5</v>
      </c>
      <c r="AW50" s="234">
        <f>x0-L/2*TAN(RADIANS(60))</f>
        <v>-2.5980762113533151</v>
      </c>
      <c r="AX50" s="234">
        <f>y0-3/2*L</f>
        <v>-4.5</v>
      </c>
      <c r="AY50" s="234">
        <f>x0-L</f>
        <v>-3</v>
      </c>
      <c r="AZ50" s="234">
        <f>y0-3/2*L</f>
        <v>-4.5</v>
      </c>
      <c r="BA50" s="234">
        <f>x0+L/2</f>
        <v>1.5</v>
      </c>
      <c r="BB50" s="234">
        <f>y0-L*(1+1/2*TAN(RADIANS(60)))</f>
        <v>-5.5980762113533151</v>
      </c>
      <c r="BC50" s="228">
        <f>x0-1/2*L</f>
        <v>-1.5</v>
      </c>
      <c r="BD50" s="228">
        <f>y0-L*TAN(RADIANS(60))</f>
        <v>-5.1961524227066302</v>
      </c>
      <c r="BE50" s="228">
        <f>x0-1/2*L</f>
        <v>-1.5</v>
      </c>
      <c r="BF50" s="234">
        <f>y0-L*(1+1/2*TAN(RADIANS(60)))</f>
        <v>-5.5980762113533151</v>
      </c>
      <c r="BG50" s="228">
        <f>x0-L</f>
        <v>-3</v>
      </c>
      <c r="BH50" s="228">
        <f>y0-L*(1+1/2*TAN(RADIANS(60)))</f>
        <v>-5.5980762113533151</v>
      </c>
      <c r="BI50" s="228">
        <f>x0-L</f>
        <v>-3</v>
      </c>
      <c r="BJ50" s="228">
        <f>y0-L*(1+1/2*TAN(RADIANS(60)))</f>
        <v>-5.5980762113533151</v>
      </c>
    </row>
    <row r="51" spans="1:62" x14ac:dyDescent="0.2">
      <c r="A51" s="337">
        <v>3</v>
      </c>
      <c r="B51" s="127">
        <f ca="1">IF(ISNUMBER(G51), G51, INDIRECT(VLOOKUP(np,npTable[],2) &amp;"[Column1]"))</f>
        <v>1.5</v>
      </c>
      <c r="C51" s="127">
        <f ca="1">INDIRECT(VLOOKUP(np,npTable[],2) &amp;"[Column2]")</f>
        <v>-3</v>
      </c>
      <c r="D51" s="130">
        <f t="shared" si="0"/>
        <v>100</v>
      </c>
      <c r="E51" s="69"/>
      <c r="F51" s="19"/>
      <c r="G51" s="137"/>
      <c r="H51" s="132"/>
      <c r="I51" s="132"/>
      <c r="J51"/>
      <c r="K51" s="352"/>
      <c r="M51" s="299">
        <v>4</v>
      </c>
      <c r="N51" s="296" t="s">
        <v>238</v>
      </c>
      <c r="O51" s="300"/>
      <c r="P51" s="300"/>
      <c r="Q51" s="300">
        <f>x0</f>
        <v>0</v>
      </c>
      <c r="R51" s="300">
        <f>L/2/COS(RADIANS(30))</f>
        <v>1.7320508075688772</v>
      </c>
      <c r="S51" s="300">
        <f>x0-L/2</f>
        <v>-1.5</v>
      </c>
      <c r="T51" s="300">
        <f>y0+L/2</f>
        <v>1.5</v>
      </c>
      <c r="U51" s="300">
        <f>x0</f>
        <v>0</v>
      </c>
      <c r="V51" s="300">
        <f>y0</f>
        <v>0</v>
      </c>
      <c r="W51" s="300">
        <f>x0+L</f>
        <v>3</v>
      </c>
      <c r="X51" s="300">
        <f>y0-L/2</f>
        <v>-1.5</v>
      </c>
      <c r="Y51" s="234">
        <f>x0-L</f>
        <v>-3</v>
      </c>
      <c r="Z51" s="234">
        <f>y0</f>
        <v>0</v>
      </c>
      <c r="AA51" s="228">
        <f>x0+L</f>
        <v>3</v>
      </c>
      <c r="AB51" s="228">
        <f>y0-L/2*TAN(RADIANS(60))</f>
        <v>-2.5980762113533151</v>
      </c>
      <c r="AC51" s="234">
        <f>x0+L</f>
        <v>3</v>
      </c>
      <c r="AD51" s="234">
        <f>y0-L</f>
        <v>-3</v>
      </c>
      <c r="AE51" s="228">
        <f>x0+L</f>
        <v>3</v>
      </c>
      <c r="AF51" s="228">
        <f>y0-L/2*TAN(RADIANS(60))</f>
        <v>-2.5980762113533151</v>
      </c>
      <c r="AG51" s="234">
        <f>x0+L/2</f>
        <v>1.5</v>
      </c>
      <c r="AH51" s="234">
        <f>y0-L/2*TAN(RADIANS(60))</f>
        <v>-2.5980762113533151</v>
      </c>
      <c r="AI51" s="234">
        <f>x0+L/2</f>
        <v>1.5</v>
      </c>
      <c r="AJ51" s="234">
        <f>y0-L</f>
        <v>-3</v>
      </c>
      <c r="AK51" s="234">
        <f>x0+L*TAN(RADIANS(60))</f>
        <v>5.1961524227066302</v>
      </c>
      <c r="AL51" s="234">
        <f>y0-L</f>
        <v>-3</v>
      </c>
      <c r="AM51" s="234">
        <f>x0+L</f>
        <v>3</v>
      </c>
      <c r="AN51" s="234">
        <f>y0-L/2*(1+TAN(RADIANS(60)))</f>
        <v>-4.0980762113533151</v>
      </c>
      <c r="AO51" s="234">
        <f>x0-L*TAN(RADIANS(60))</f>
        <v>-5.1961524227066302</v>
      </c>
      <c r="AP51" s="234">
        <f>y0-L</f>
        <v>-3</v>
      </c>
      <c r="AQ51" s="234">
        <f>x0+L/2</f>
        <v>1.5</v>
      </c>
      <c r="AR51" s="234">
        <f>y0-L*3/2</f>
        <v>-4.5</v>
      </c>
      <c r="AS51" s="234">
        <f>x0-L*TAN(RADIANS(60))</f>
        <v>-5.1961524227066302</v>
      </c>
      <c r="AT51" s="234">
        <f>y0-L</f>
        <v>-3</v>
      </c>
      <c r="AU51" s="234">
        <f>x0+L*TAN(RADIANS(60))</f>
        <v>5.1961524227066302</v>
      </c>
      <c r="AV51" s="234">
        <f>y0-3/2*L</f>
        <v>-4.5</v>
      </c>
      <c r="AW51" s="234">
        <f>x0+L/2*TAN(RADIANS(60))</f>
        <v>2.5980762113533151</v>
      </c>
      <c r="AX51" s="234">
        <f>y0-3/2*L</f>
        <v>-4.5</v>
      </c>
      <c r="AY51" s="234">
        <f>x0</f>
        <v>0</v>
      </c>
      <c r="AZ51" s="234">
        <f>y0-3/2*L</f>
        <v>-4.5</v>
      </c>
      <c r="BA51" s="234">
        <f>x0-L*(1+1/2*TAN(RADIANS(60)))</f>
        <v>-5.5980762113533151</v>
      </c>
      <c r="BB51" s="234">
        <f>y0-3/2*L</f>
        <v>-4.5</v>
      </c>
      <c r="BC51" s="228">
        <f>x0+1/2*L</f>
        <v>1.5</v>
      </c>
      <c r="BD51" s="228">
        <f>y0-L*TAN(RADIANS(60))</f>
        <v>-5.1961524227066302</v>
      </c>
      <c r="BE51" s="228">
        <f>x0+1/2*L</f>
        <v>1.5</v>
      </c>
      <c r="BF51" s="234">
        <f>y0-L*(1+1/2*TAN(RADIANS(60)))</f>
        <v>-5.5980762113533151</v>
      </c>
      <c r="BG51" s="228">
        <f>x0</f>
        <v>0</v>
      </c>
      <c r="BH51" s="228">
        <f>y0-L*(1+1/2*TAN(RADIANS(60)))</f>
        <v>-5.5980762113533151</v>
      </c>
      <c r="BI51" s="228">
        <f>x0</f>
        <v>0</v>
      </c>
      <c r="BJ51" s="228">
        <f>y0-L*(1+1/2*TAN(RADIANS(60)))</f>
        <v>-5.5980762113533151</v>
      </c>
    </row>
    <row r="52" spans="1:62" x14ac:dyDescent="0.2">
      <c r="A52" s="337">
        <v>4</v>
      </c>
      <c r="B52" s="127">
        <f ca="1">IF(ISNUMBER(G52), G52, INDIRECT(VLOOKUP(np,npTable[],2) &amp;"[Column1]"))</f>
        <v>4.5</v>
      </c>
      <c r="C52" s="127">
        <f ca="1">INDIRECT(VLOOKUP(np,npTable[],2) &amp;"[Column2]")</f>
        <v>-3</v>
      </c>
      <c r="D52" s="130">
        <f t="shared" si="0"/>
        <v>100</v>
      </c>
      <c r="E52" s="69"/>
      <c r="F52" s="19"/>
      <c r="G52" s="137"/>
      <c r="H52" s="132"/>
      <c r="I52" s="132"/>
      <c r="J52"/>
      <c r="K52" s="352"/>
      <c r="M52" s="299">
        <v>5</v>
      </c>
      <c r="N52" s="296" t="s">
        <v>239</v>
      </c>
      <c r="O52" s="300"/>
      <c r="P52" s="300"/>
      <c r="Q52" s="300"/>
      <c r="R52" s="300"/>
      <c r="S52" s="300">
        <f>x0+L/2</f>
        <v>1.5</v>
      </c>
      <c r="T52" s="300">
        <f>y0+L/2</f>
        <v>1.5</v>
      </c>
      <c r="U52" s="300">
        <f>x0-L*COS(RADIANS(45))</f>
        <v>-2.1213203435596428</v>
      </c>
      <c r="V52" s="300">
        <f>y0+L*COS(RADIANS(45))</f>
        <v>2.1213203435596428</v>
      </c>
      <c r="W52" s="300">
        <f>x0-L</f>
        <v>-3</v>
      </c>
      <c r="X52" s="300">
        <f>y0+L/2</f>
        <v>1.5</v>
      </c>
      <c r="Y52" s="234">
        <f>x0</f>
        <v>0</v>
      </c>
      <c r="Z52" s="234">
        <f>y0</f>
        <v>0</v>
      </c>
      <c r="AA52" s="228">
        <f>x0-L/2</f>
        <v>-1.5</v>
      </c>
      <c r="AB52" s="228">
        <f>y0</f>
        <v>0</v>
      </c>
      <c r="AC52" s="234">
        <f>x0-L</f>
        <v>-3</v>
      </c>
      <c r="AD52" s="234">
        <f>y0</f>
        <v>0</v>
      </c>
      <c r="AE52" s="228">
        <f>x0-3/2*L</f>
        <v>-4.5</v>
      </c>
      <c r="AF52" s="228">
        <f>y0</f>
        <v>0</v>
      </c>
      <c r="AG52" s="234">
        <f>x0+3/2*L</f>
        <v>4.5</v>
      </c>
      <c r="AH52" s="234">
        <f>y0-L/2*TAN(RADIANS(60))</f>
        <v>-2.5980762113533151</v>
      </c>
      <c r="AI52" s="234">
        <f>x0+3/2*L</f>
        <v>4.5</v>
      </c>
      <c r="AJ52" s="234">
        <f>y0-L</f>
        <v>-3</v>
      </c>
      <c r="AK52" s="234">
        <f>x0-L/2*TAN(RADIANS(60))</f>
        <v>-2.5980762113533151</v>
      </c>
      <c r="AL52" s="234">
        <f>y0-L/2</f>
        <v>-1.5</v>
      </c>
      <c r="AM52" s="234">
        <f>x0-3/2*L</f>
        <v>-4.5</v>
      </c>
      <c r="AN52" s="234">
        <f>y0-L/2</f>
        <v>-1.5</v>
      </c>
      <c r="AO52" s="234">
        <v>0</v>
      </c>
      <c r="AP52" s="234">
        <f>y0-L</f>
        <v>-3</v>
      </c>
      <c r="AQ52" s="234">
        <f>x0+3/2*L</f>
        <v>4.5</v>
      </c>
      <c r="AR52" s="234">
        <f>y0-L*3/2</f>
        <v>-4.5</v>
      </c>
      <c r="AS52" s="234">
        <v>0</v>
      </c>
      <c r="AT52" s="234">
        <f>y0-L</f>
        <v>-3</v>
      </c>
      <c r="AU52" s="234">
        <f>x0-L/2*TAN(RADIANS(60))</f>
        <v>-2.5980762113533151</v>
      </c>
      <c r="AV52" s="234">
        <f>y0-L</f>
        <v>-3</v>
      </c>
      <c r="AW52" s="234">
        <f>x0+L*(1+1/2*TAN(RADIANS(60)))</f>
        <v>5.5980762113533151</v>
      </c>
      <c r="AX52" s="234">
        <f>y0-3/2*L</f>
        <v>-4.5</v>
      </c>
      <c r="AY52" s="234">
        <f>x0+L</f>
        <v>3</v>
      </c>
      <c r="AZ52" s="234">
        <f>y0-3/2*L</f>
        <v>-4.5</v>
      </c>
      <c r="BA52" s="234">
        <f>x0+L*(1+1/2*TAN(RADIANS(60)))</f>
        <v>5.5980762113533151</v>
      </c>
      <c r="BB52" s="234">
        <f>y0-3/2*L</f>
        <v>-4.5</v>
      </c>
      <c r="BC52" s="228">
        <f>x0+3/2*L</f>
        <v>4.5</v>
      </c>
      <c r="BD52" s="228">
        <f>y0-L*TAN(RADIANS(60))</f>
        <v>-5.1961524227066302</v>
      </c>
      <c r="BE52" s="228">
        <f>x0+3/2*L</f>
        <v>4.5</v>
      </c>
      <c r="BF52" s="234">
        <f>y0-L*(1+1/2*TAN(RADIANS(60)))</f>
        <v>-5.5980762113533151</v>
      </c>
      <c r="BG52" s="228">
        <f>x0+L</f>
        <v>3</v>
      </c>
      <c r="BH52" s="228">
        <f>y0-L*(1+1/2*TAN(RADIANS(60)))</f>
        <v>-5.5980762113533151</v>
      </c>
      <c r="BI52" s="228">
        <f>x0+L</f>
        <v>3</v>
      </c>
      <c r="BJ52" s="228">
        <f>y0-L*(1+1/2*TAN(RADIANS(60)))</f>
        <v>-5.5980762113533151</v>
      </c>
    </row>
    <row r="53" spans="1:62" x14ac:dyDescent="0.2">
      <c r="A53" s="337">
        <v>5</v>
      </c>
      <c r="B53" s="127">
        <f ca="1">IF(ISNUMBER(G53), G53, INDIRECT(VLOOKUP(np,npTable[],2) &amp;"[Column1]"))</f>
        <v>-4.5</v>
      </c>
      <c r="C53" s="127">
        <f ca="1">INDIRECT(VLOOKUP(np,npTable[],2) &amp;"[Column2]")</f>
        <v>0</v>
      </c>
      <c r="D53" s="130">
        <f t="shared" si="0"/>
        <v>100</v>
      </c>
      <c r="E53" s="69"/>
      <c r="F53" s="19"/>
      <c r="G53" s="137"/>
      <c r="H53" s="132"/>
      <c r="I53" s="132"/>
      <c r="J53"/>
      <c r="K53" s="352"/>
      <c r="M53" s="299">
        <v>6</v>
      </c>
      <c r="N53" s="296" t="s">
        <v>240</v>
      </c>
      <c r="O53" s="300"/>
      <c r="P53" s="300"/>
      <c r="Q53" s="300"/>
      <c r="R53" s="300"/>
      <c r="S53" s="300"/>
      <c r="T53" s="300"/>
      <c r="U53" s="300">
        <f>x0+L*COS(RADIANS(45))</f>
        <v>2.1213203435596428</v>
      </c>
      <c r="V53" s="300">
        <f>y0+L*COS(RADIANS(45))</f>
        <v>2.1213203435596428</v>
      </c>
      <c r="W53" s="300">
        <f>x0</f>
        <v>0</v>
      </c>
      <c r="X53" s="300">
        <f>y0+L/2</f>
        <v>1.5</v>
      </c>
      <c r="Y53" s="234">
        <f>x0+L</f>
        <v>3</v>
      </c>
      <c r="Z53" s="234">
        <f>y0</f>
        <v>0</v>
      </c>
      <c r="AA53" s="228">
        <f>x0+L/2</f>
        <v>1.5</v>
      </c>
      <c r="AB53" s="228">
        <f>y0</f>
        <v>0</v>
      </c>
      <c r="AC53" s="234">
        <f>x0</f>
        <v>0</v>
      </c>
      <c r="AD53" s="234">
        <f>y0</f>
        <v>0</v>
      </c>
      <c r="AE53" s="228">
        <f>x0-L/2</f>
        <v>-1.5</v>
      </c>
      <c r="AF53" s="228">
        <f>y0</f>
        <v>0</v>
      </c>
      <c r="AG53" s="234">
        <f>x0-L</f>
        <v>-3</v>
      </c>
      <c r="AH53" s="234">
        <f>y0</f>
        <v>0</v>
      </c>
      <c r="AI53" s="234">
        <f>x0-3/2*L</f>
        <v>-4.5</v>
      </c>
      <c r="AJ53" s="234">
        <f>y0</f>
        <v>0</v>
      </c>
      <c r="AK53" s="234">
        <f>x0+L/2*TAN(RADIANS(60))</f>
        <v>2.5980762113533151</v>
      </c>
      <c r="AL53" s="234">
        <f>y0-L/2</f>
        <v>-1.5</v>
      </c>
      <c r="AM53" s="234">
        <f>x0-L/2</f>
        <v>-1.5</v>
      </c>
      <c r="AN53" s="234">
        <f>y0-L/2</f>
        <v>-1.5</v>
      </c>
      <c r="AO53" s="234">
        <f>x0+L*TAN(RADIANS(60))</f>
        <v>5.1961524227066302</v>
      </c>
      <c r="AP53" s="234">
        <f>y0-L</f>
        <v>-3</v>
      </c>
      <c r="AQ53" s="234">
        <f>x0-3/2*L</f>
        <v>-4.5</v>
      </c>
      <c r="AR53" s="234">
        <f>y0-L/2</f>
        <v>-1.5</v>
      </c>
      <c r="AS53" s="234">
        <f>x0+L*TAN(RADIANS(60))</f>
        <v>5.1961524227066302</v>
      </c>
      <c r="AT53" s="234">
        <f>y0-L</f>
        <v>-3</v>
      </c>
      <c r="AU53" s="234">
        <f>x0+L/2*TAN(RADIANS(60))</f>
        <v>2.5980762113533151</v>
      </c>
      <c r="AV53" s="234">
        <f>y0-L</f>
        <v>-3</v>
      </c>
      <c r="AW53" s="234">
        <f>x0</f>
        <v>0</v>
      </c>
      <c r="AX53" s="234">
        <f>y0-L</f>
        <v>-3</v>
      </c>
      <c r="AY53" s="234">
        <f>x0+2*L</f>
        <v>6</v>
      </c>
      <c r="AZ53" s="234">
        <f>y0-3/2*L</f>
        <v>-4.5</v>
      </c>
      <c r="BA53" s="234">
        <f>x0-L</f>
        <v>-3</v>
      </c>
      <c r="BB53" s="234">
        <f>y0-L</f>
        <v>-3</v>
      </c>
      <c r="BC53" s="228">
        <f>x0-2*L</f>
        <v>-6</v>
      </c>
      <c r="BD53" s="228">
        <f>y0-L/2*TAN(RADIANS(60))</f>
        <v>-2.5980762113533151</v>
      </c>
      <c r="BE53" s="234">
        <f>x0-2*L</f>
        <v>-6</v>
      </c>
      <c r="BF53" s="234">
        <f>y0-L</f>
        <v>-3</v>
      </c>
      <c r="BG53" s="228">
        <f>x0+2*L</f>
        <v>6</v>
      </c>
      <c r="BH53" s="228">
        <f>y0-L*(1+1/2*TAN(RADIANS(60)))</f>
        <v>-5.5980762113533151</v>
      </c>
      <c r="BI53" s="228">
        <f>x0+2*L</f>
        <v>6</v>
      </c>
      <c r="BJ53" s="228">
        <f>y0-L*(1+1/2*TAN(RADIANS(60)))</f>
        <v>-5.5980762113533151</v>
      </c>
    </row>
    <row r="54" spans="1:62" x14ac:dyDescent="0.2">
      <c r="A54" s="337">
        <v>6</v>
      </c>
      <c r="B54" s="127">
        <f ca="1">IF(ISNUMBER(G54), G54, INDIRECT(VLOOKUP(np,npTable[],2) &amp;"[Column1]"))</f>
        <v>-1.5</v>
      </c>
      <c r="C54" s="127">
        <f ca="1">INDIRECT(VLOOKUP(np,npTable[],2) &amp;"[Column2]")</f>
        <v>0</v>
      </c>
      <c r="D54" s="130">
        <f t="shared" si="0"/>
        <v>100</v>
      </c>
      <c r="E54" s="69"/>
      <c r="F54" s="19"/>
      <c r="G54" s="137"/>
      <c r="H54" s="132"/>
      <c r="I54" s="132"/>
      <c r="J54"/>
      <c r="K54" s="352"/>
      <c r="M54" s="299">
        <v>7</v>
      </c>
      <c r="N54" s="296" t="s">
        <v>241</v>
      </c>
      <c r="O54" s="300"/>
      <c r="P54" s="300"/>
      <c r="Q54" s="300"/>
      <c r="R54" s="300"/>
      <c r="S54" s="300"/>
      <c r="T54" s="300"/>
      <c r="U54" s="300"/>
      <c r="V54" s="300"/>
      <c r="W54" s="300">
        <f>x0+L</f>
        <v>3</v>
      </c>
      <c r="X54" s="300">
        <f>y0+L/2</f>
        <v>1.5</v>
      </c>
      <c r="Y54" s="234">
        <f>x0-L/2</f>
        <v>-1.5</v>
      </c>
      <c r="Z54" s="234">
        <f>y0+L/2*TAN(RADIANS(60))</f>
        <v>2.5980762113533151</v>
      </c>
      <c r="AA54" s="228">
        <f>x0-L</f>
        <v>-3</v>
      </c>
      <c r="AB54" s="228">
        <f>y0+L/2*TAN(RADIANS(60))</f>
        <v>2.5980762113533151</v>
      </c>
      <c r="AC54" s="234">
        <f>x0+L</f>
        <v>3</v>
      </c>
      <c r="AD54" s="234">
        <f>y0</f>
        <v>0</v>
      </c>
      <c r="AE54" s="228">
        <f>x0+L/2</f>
        <v>1.5</v>
      </c>
      <c r="AF54" s="228">
        <f>y0</f>
        <v>0</v>
      </c>
      <c r="AG54" s="234">
        <f>x0</f>
        <v>0</v>
      </c>
      <c r="AH54" s="234">
        <f>y0</f>
        <v>0</v>
      </c>
      <c r="AI54" s="234">
        <f>x0-L/2</f>
        <v>-1.5</v>
      </c>
      <c r="AJ54" s="234">
        <f>y0</f>
        <v>0</v>
      </c>
      <c r="AK54" s="234">
        <f>x0-L*TAN(RADIANS(60))</f>
        <v>-5.1961524227066302</v>
      </c>
      <c r="AL54" s="234">
        <f>y0</f>
        <v>0</v>
      </c>
      <c r="AM54" s="234">
        <f>x0+L/2</f>
        <v>1.5</v>
      </c>
      <c r="AN54" s="234">
        <f>y0-L/2</f>
        <v>-1.5</v>
      </c>
      <c r="AO54" s="234">
        <f>x0-L/2*TAN(RADIANS(60))</f>
        <v>-2.5980762113533151</v>
      </c>
      <c r="AP54" s="234">
        <f>y0-L/2</f>
        <v>-1.5</v>
      </c>
      <c r="AQ54" s="234">
        <f>x0-L/2</f>
        <v>-1.5</v>
      </c>
      <c r="AR54" s="234">
        <f>y0-L/2</f>
        <v>-1.5</v>
      </c>
      <c r="AS54" s="234">
        <f>x0-L/2*TAN(RADIANS(60))</f>
        <v>-2.5980762113533151</v>
      </c>
      <c r="AT54" s="234">
        <f>y0-L/2</f>
        <v>-1.5</v>
      </c>
      <c r="AU54" s="234">
        <f>x0-L*TAN(RADIANS(60))</f>
        <v>-5.1961524227066302</v>
      </c>
      <c r="AV54" s="234">
        <f>y0-1/2*L</f>
        <v>-1.5</v>
      </c>
      <c r="AW54" s="234">
        <f>x0-L*(1+1/2*TAN(RADIANS(60)))</f>
        <v>-5.5980762113533151</v>
      </c>
      <c r="AX54" s="234">
        <f>y0-L/2</f>
        <v>-1.5</v>
      </c>
      <c r="AY54" s="234">
        <f>x0-2*L</f>
        <v>-6</v>
      </c>
      <c r="AZ54" s="234">
        <f>y0-L/2</f>
        <v>-1.5</v>
      </c>
      <c r="BA54" s="234">
        <f>x0</f>
        <v>0</v>
      </c>
      <c r="BB54" s="234">
        <f>y0-L</f>
        <v>-3</v>
      </c>
      <c r="BC54" s="228">
        <f>x0-L</f>
        <v>-3</v>
      </c>
      <c r="BD54" s="228">
        <f>y0-L/2*TAN(RADIANS(60))</f>
        <v>-2.5980762113533151</v>
      </c>
      <c r="BE54" s="234">
        <f>x0-L</f>
        <v>-3</v>
      </c>
      <c r="BF54" s="234">
        <f>y0-L</f>
        <v>-3</v>
      </c>
      <c r="BG54" s="228">
        <f>x0-2*L</f>
        <v>-6</v>
      </c>
      <c r="BH54" s="228">
        <f>y0-L/2*TAN(RADIANS(60))</f>
        <v>-2.5980762113533151</v>
      </c>
      <c r="BI54" s="228">
        <f>x0-2*L</f>
        <v>-6</v>
      </c>
      <c r="BJ54" s="228">
        <f>y0-L/2*TAN(RADIANS(60))</f>
        <v>-2.5980762113533151</v>
      </c>
    </row>
    <row r="55" spans="1:62" x14ac:dyDescent="0.2">
      <c r="A55" s="337">
        <v>7</v>
      </c>
      <c r="B55" s="127">
        <f ca="1">IF(ISNUMBER(G55), G55, INDIRECT(VLOOKUP(np,npTable[],2) &amp;"[Column1]"))</f>
        <v>1.5</v>
      </c>
      <c r="C55" s="127">
        <f ca="1">INDIRECT(VLOOKUP(np,npTable[],2) &amp;"[Column2]")</f>
        <v>0</v>
      </c>
      <c r="D55" s="130">
        <f t="shared" si="0"/>
        <v>100</v>
      </c>
      <c r="E55" s="69"/>
      <c r="F55" s="19"/>
      <c r="G55" s="137"/>
      <c r="H55" s="132"/>
      <c r="I55" s="132"/>
      <c r="J55"/>
      <c r="K55" s="352"/>
      <c r="M55" s="299">
        <v>8</v>
      </c>
      <c r="N55" s="296" t="s">
        <v>230</v>
      </c>
      <c r="O55" s="300"/>
      <c r="P55" s="300"/>
      <c r="Q55" s="300"/>
      <c r="R55" s="300"/>
      <c r="S55" s="300"/>
      <c r="T55" s="300"/>
      <c r="U55" s="300"/>
      <c r="V55" s="300"/>
      <c r="W55" s="300"/>
      <c r="X55" s="300"/>
      <c r="Y55" s="234">
        <f>x0+L/2</f>
        <v>1.5</v>
      </c>
      <c r="Z55" s="234">
        <f>y0+L/2*TAN(RADIANS(60))</f>
        <v>2.5980762113533151</v>
      </c>
      <c r="AA55" s="228">
        <f>x0</f>
        <v>0</v>
      </c>
      <c r="AB55" s="228">
        <f>y0+L/2*TAN(RADIANS(60))</f>
        <v>2.5980762113533151</v>
      </c>
      <c r="AC55" s="234">
        <f>x0-L</f>
        <v>-3</v>
      </c>
      <c r="AD55" s="234">
        <f>y0+L</f>
        <v>3</v>
      </c>
      <c r="AE55" s="228">
        <f>x0+3/2*L</f>
        <v>4.5</v>
      </c>
      <c r="AF55" s="228">
        <f>y0</f>
        <v>0</v>
      </c>
      <c r="AG55" s="234">
        <f>x0+L</f>
        <v>3</v>
      </c>
      <c r="AH55" s="234">
        <f>y0</f>
        <v>0</v>
      </c>
      <c r="AI55" s="234">
        <f>x0+L/2</f>
        <v>1.5</v>
      </c>
      <c r="AJ55" s="234">
        <f>y0</f>
        <v>0</v>
      </c>
      <c r="AK55" s="234">
        <v>0</v>
      </c>
      <c r="AL55" s="234">
        <f>y0</f>
        <v>0</v>
      </c>
      <c r="AM55" s="234">
        <f>x0+3/2*L</f>
        <v>4.5</v>
      </c>
      <c r="AN55" s="234">
        <f>y0-L/2</f>
        <v>-1.5</v>
      </c>
      <c r="AO55" s="234">
        <f>x0+L/2*TAN(RADIANS(60))</f>
        <v>2.5980762113533151</v>
      </c>
      <c r="AP55" s="234">
        <f>y0-L/2</f>
        <v>-1.5</v>
      </c>
      <c r="AQ55" s="234">
        <f>x0+L/2</f>
        <v>1.5</v>
      </c>
      <c r="AR55" s="234">
        <f>y0-L/2</f>
        <v>-1.5</v>
      </c>
      <c r="AS55" s="234">
        <f>x0+L/2*TAN(RADIANS(60))</f>
        <v>2.5980762113533151</v>
      </c>
      <c r="AT55" s="234">
        <f>y0-L/2</f>
        <v>-1.5</v>
      </c>
      <c r="AU55" s="234">
        <f>x0</f>
        <v>0</v>
      </c>
      <c r="AV55" s="234">
        <f>y0-1/2*L</f>
        <v>-1.5</v>
      </c>
      <c r="AW55" s="234">
        <f>x0-L/2*TAN(RADIANS(60))</f>
        <v>-2.5980762113533151</v>
      </c>
      <c r="AX55" s="234">
        <f>y0-L/2</f>
        <v>-1.5</v>
      </c>
      <c r="AY55" s="234">
        <f>x0-L</f>
        <v>-3</v>
      </c>
      <c r="AZ55" s="234">
        <f>y0-L/2</f>
        <v>-1.5</v>
      </c>
      <c r="BA55" s="234">
        <f>x0+L</f>
        <v>3</v>
      </c>
      <c r="BB55" s="234">
        <f>y0-L</f>
        <v>-3</v>
      </c>
      <c r="BC55" s="228">
        <f>x0</f>
        <v>0</v>
      </c>
      <c r="BD55" s="228">
        <f>y0-L/2*TAN(RADIANS(60))</f>
        <v>-2.5980762113533151</v>
      </c>
      <c r="BE55" s="234">
        <f>x0</f>
        <v>0</v>
      </c>
      <c r="BF55" s="234">
        <f>y0-L</f>
        <v>-3</v>
      </c>
      <c r="BG55" s="228">
        <f>x0-L</f>
        <v>-3</v>
      </c>
      <c r="BH55" s="228">
        <f>y0-L/2*TAN(RADIANS(60))</f>
        <v>-2.5980762113533151</v>
      </c>
      <c r="BI55" s="228">
        <f>x0-L</f>
        <v>-3</v>
      </c>
      <c r="BJ55" s="228">
        <f>y0-L/2*TAN(RADIANS(60))</f>
        <v>-2.5980762113533151</v>
      </c>
    </row>
    <row r="56" spans="1:62" x14ac:dyDescent="0.2">
      <c r="A56" s="337">
        <v>8</v>
      </c>
      <c r="B56" s="127">
        <f ca="1">IF(ISNUMBER(G56), G56, INDIRECT(VLOOKUP(np,npTable[],2) &amp;"[Column1]"))</f>
        <v>4.5</v>
      </c>
      <c r="C56" s="127">
        <f ca="1">INDIRECT(VLOOKUP(np,npTable[],2) &amp;"[Column2]")</f>
        <v>0</v>
      </c>
      <c r="D56" s="130">
        <f t="shared" si="0"/>
        <v>100</v>
      </c>
      <c r="E56" s="69"/>
      <c r="F56" s="19"/>
      <c r="G56" s="137"/>
      <c r="H56" s="132"/>
      <c r="I56" s="132"/>
      <c r="J56"/>
      <c r="K56" s="352"/>
      <c r="M56" s="299">
        <v>9</v>
      </c>
      <c r="N56" s="296" t="s">
        <v>242</v>
      </c>
      <c r="O56" s="300"/>
      <c r="P56" s="300"/>
      <c r="Q56" s="300"/>
      <c r="R56" s="300"/>
      <c r="S56" s="300"/>
      <c r="T56" s="300"/>
      <c r="U56" s="300"/>
      <c r="V56" s="300"/>
      <c r="W56" s="300"/>
      <c r="X56" s="300"/>
      <c r="Y56" s="234"/>
      <c r="Z56" s="234"/>
      <c r="AA56" s="228">
        <f>x0+L</f>
        <v>3</v>
      </c>
      <c r="AB56" s="228">
        <f>y0+L/2*TAN(RADIANS(60))</f>
        <v>2.5980762113533151</v>
      </c>
      <c r="AC56" s="234">
        <f>x0</f>
        <v>0</v>
      </c>
      <c r="AD56" s="234">
        <f>y0+L</f>
        <v>3</v>
      </c>
      <c r="AE56" s="228">
        <f>x0-L</f>
        <v>-3</v>
      </c>
      <c r="AF56" s="228">
        <f>y0+L/2*TAN(RADIANS(60))</f>
        <v>2.5980762113533151</v>
      </c>
      <c r="AG56" s="234">
        <f>x0-3/2*L</f>
        <v>-4.5</v>
      </c>
      <c r="AH56" s="234">
        <f>y0+L/2*TAN(RADIANS(60))</f>
        <v>2.5980762113533151</v>
      </c>
      <c r="AI56" s="234">
        <f>x0+3/2*L</f>
        <v>4.5</v>
      </c>
      <c r="AJ56" s="234">
        <f>y0</f>
        <v>0</v>
      </c>
      <c r="AK56" s="234">
        <f>x0+L*TAN(RADIANS(60))</f>
        <v>5.1961524227066302</v>
      </c>
      <c r="AL56" s="234">
        <f>y0</f>
        <v>0</v>
      </c>
      <c r="AM56" s="234">
        <f>x0-3/2*L</f>
        <v>-4.5</v>
      </c>
      <c r="AN56" s="234">
        <f>y0+L/2</f>
        <v>1.5</v>
      </c>
      <c r="AO56" s="234">
        <v>0</v>
      </c>
      <c r="AP56" s="234">
        <f>y0</f>
        <v>0</v>
      </c>
      <c r="AQ56" s="234">
        <f>x0+3/2*L</f>
        <v>4.5</v>
      </c>
      <c r="AR56" s="234">
        <f>y0-L/2</f>
        <v>-1.5</v>
      </c>
      <c r="AS56" s="234">
        <f>x0-L*TAN(RADIANS(60))</f>
        <v>-5.1961524227066302</v>
      </c>
      <c r="AT56" s="234">
        <f>y0</f>
        <v>0</v>
      </c>
      <c r="AU56" s="234">
        <f>x0+L*TAN(RADIANS(60))</f>
        <v>5.1961524227066302</v>
      </c>
      <c r="AV56" s="234">
        <f>y0-1/2*L</f>
        <v>-1.5</v>
      </c>
      <c r="AW56" s="234">
        <f>x0+L/2*TAN(RADIANS(60))</f>
        <v>2.5980762113533151</v>
      </c>
      <c r="AX56" s="234">
        <f>y0-L/2</f>
        <v>-1.5</v>
      </c>
      <c r="AY56" s="234">
        <f>x0</f>
        <v>0</v>
      </c>
      <c r="AZ56" s="234">
        <f>y0-L/2</f>
        <v>-1.5</v>
      </c>
      <c r="BA56" s="234">
        <f>x0-L*(1+1/2*TAN(RADIANS(60)))</f>
        <v>-5.5980762113533151</v>
      </c>
      <c r="BB56" s="234">
        <f>y0-1/2*L</f>
        <v>-1.5</v>
      </c>
      <c r="BC56" s="228">
        <f>x0+L</f>
        <v>3</v>
      </c>
      <c r="BD56" s="228">
        <f>y0-L/2*TAN(RADIANS(60))</f>
        <v>-2.5980762113533151</v>
      </c>
      <c r="BE56" s="234">
        <f>x0+L</f>
        <v>3</v>
      </c>
      <c r="BF56" s="234">
        <f>y0-L</f>
        <v>-3</v>
      </c>
      <c r="BG56" s="228">
        <f>x0</f>
        <v>0</v>
      </c>
      <c r="BH56" s="228">
        <f>y0-L/2*TAN(RADIANS(60))</f>
        <v>-2.5980762113533151</v>
      </c>
      <c r="BI56" s="228">
        <f>x0</f>
        <v>0</v>
      </c>
      <c r="BJ56" s="228">
        <f>y0-L/2*TAN(RADIANS(60))</f>
        <v>-2.5980762113533151</v>
      </c>
    </row>
    <row r="57" spans="1:62" x14ac:dyDescent="0.2">
      <c r="A57" s="337">
        <v>9</v>
      </c>
      <c r="B57" s="127">
        <f ca="1">IF(ISNUMBER(G57), G57, INDIRECT(VLOOKUP(np,npTable[],2) &amp;"[Column1]"))</f>
        <v>-4.5</v>
      </c>
      <c r="C57" s="127">
        <f ca="1">INDIRECT(VLOOKUP(np,npTable[],2) &amp;"[Column2]")</f>
        <v>3</v>
      </c>
      <c r="D57" s="130">
        <f t="shared" si="0"/>
        <v>100</v>
      </c>
      <c r="E57" s="69"/>
      <c r="F57" s="19"/>
      <c r="G57" s="137"/>
      <c r="H57" s="132"/>
      <c r="I57" s="132"/>
      <c r="J57"/>
      <c r="K57" s="352"/>
      <c r="M57" s="299">
        <v>10</v>
      </c>
      <c r="N57" s="296" t="s">
        <v>243</v>
      </c>
      <c r="O57" s="300"/>
      <c r="P57" s="300"/>
      <c r="Q57" s="300"/>
      <c r="R57" s="300"/>
      <c r="S57" s="300"/>
      <c r="T57" s="300"/>
      <c r="U57" s="300"/>
      <c r="V57" s="300"/>
      <c r="W57" s="300"/>
      <c r="X57" s="300"/>
      <c r="Y57" s="234"/>
      <c r="Z57" s="234"/>
      <c r="AA57" s="228"/>
      <c r="AB57" s="228"/>
      <c r="AC57" s="234">
        <f>x0+L</f>
        <v>3</v>
      </c>
      <c r="AD57" s="234">
        <f>y0+L</f>
        <v>3</v>
      </c>
      <c r="AE57" s="228">
        <f>x0</f>
        <v>0</v>
      </c>
      <c r="AF57" s="228">
        <f>y0+L/2*TAN(RADIANS(60))</f>
        <v>2.5980762113533151</v>
      </c>
      <c r="AG57" s="234">
        <f>x0-L/2</f>
        <v>-1.5</v>
      </c>
      <c r="AH57" s="234">
        <f>y0+L/2*TAN(RADIANS(60))</f>
        <v>2.5980762113533151</v>
      </c>
      <c r="AI57" s="234">
        <f>x0-3/2*L</f>
        <v>-4.5</v>
      </c>
      <c r="AJ57" s="234">
        <f>y0+L</f>
        <v>3</v>
      </c>
      <c r="AK57" s="234">
        <f>x0-L/2*TAN(RADIANS(60))</f>
        <v>-2.5980762113533151</v>
      </c>
      <c r="AL57" s="234">
        <f>y0+L/2</f>
        <v>1.5</v>
      </c>
      <c r="AM57" s="234">
        <f>x0-L/2</f>
        <v>-1.5</v>
      </c>
      <c r="AN57" s="234">
        <f>y0+L/2</f>
        <v>1.5</v>
      </c>
      <c r="AO57" s="234">
        <f>x0-L/2*TAN(RADIANS(60))</f>
        <v>-2.5980762113533151</v>
      </c>
      <c r="AP57" s="234">
        <f>y0+L/2</f>
        <v>1.5</v>
      </c>
      <c r="AQ57" s="234">
        <f>x0-3/2*L</f>
        <v>-4.5</v>
      </c>
      <c r="AR57" s="234">
        <f>y0+L/2</f>
        <v>1.5</v>
      </c>
      <c r="AS57" s="234">
        <v>0</v>
      </c>
      <c r="AT57" s="234">
        <f>y0</f>
        <v>0</v>
      </c>
      <c r="AU57" s="234">
        <f>x0-L/2*TAN(RADIANS(60))</f>
        <v>-2.5980762113533151</v>
      </c>
      <c r="AV57" s="234">
        <f>y0</f>
        <v>0</v>
      </c>
      <c r="AW57" s="234">
        <f>x0+L*(1+1/2*TAN(RADIANS(60)))</f>
        <v>5.5980762113533151</v>
      </c>
      <c r="AX57" s="234">
        <f>y0-L/2</f>
        <v>-1.5</v>
      </c>
      <c r="AY57" s="234">
        <f>x0+L</f>
        <v>3</v>
      </c>
      <c r="AZ57" s="234">
        <f>y0-L/2</f>
        <v>-1.5</v>
      </c>
      <c r="BA57" s="234">
        <f>x0+L*(1+1/2*TAN(RADIANS(60)))</f>
        <v>5.5980762113533151</v>
      </c>
      <c r="BB57" s="234">
        <f>y0-1/2*L</f>
        <v>-1.5</v>
      </c>
      <c r="BC57" s="228">
        <f>x0+2*L</f>
        <v>6</v>
      </c>
      <c r="BD57" s="228">
        <f>y0-L/2*TAN(RADIANS(60))</f>
        <v>-2.5980762113533151</v>
      </c>
      <c r="BE57" s="234">
        <f>x0+2*L</f>
        <v>6</v>
      </c>
      <c r="BF57" s="234">
        <f>y0-L</f>
        <v>-3</v>
      </c>
      <c r="BG57" s="228">
        <f>x0+L</f>
        <v>3</v>
      </c>
      <c r="BH57" s="228">
        <f>y0-L/2*TAN(RADIANS(60))</f>
        <v>-2.5980762113533151</v>
      </c>
      <c r="BI57" s="228">
        <f>x0+L</f>
        <v>3</v>
      </c>
      <c r="BJ57" s="228">
        <f>y0-L/2*TAN(RADIANS(60))</f>
        <v>-2.5980762113533151</v>
      </c>
    </row>
    <row r="58" spans="1:62" x14ac:dyDescent="0.2">
      <c r="A58" s="337">
        <v>10</v>
      </c>
      <c r="B58" s="127">
        <f ca="1">IF(ISNUMBER(G58), G58, INDIRECT(VLOOKUP(np,npTable[],2) &amp;"[Column1]"))</f>
        <v>-1.5</v>
      </c>
      <c r="C58" s="127">
        <f ca="1">INDIRECT(VLOOKUP(np,npTable[],2) &amp;"[Column2]")</f>
        <v>3</v>
      </c>
      <c r="D58" s="130">
        <f t="shared" si="0"/>
        <v>100</v>
      </c>
      <c r="E58" s="69"/>
      <c r="F58" s="19"/>
      <c r="G58" s="137"/>
      <c r="H58" s="132"/>
      <c r="I58" s="132"/>
      <c r="J58"/>
      <c r="K58" s="352"/>
      <c r="M58" s="299">
        <v>11</v>
      </c>
      <c r="N58" s="296" t="s">
        <v>244</v>
      </c>
      <c r="O58" s="300"/>
      <c r="P58" s="300"/>
      <c r="Q58" s="300"/>
      <c r="R58" s="300"/>
      <c r="S58" s="300"/>
      <c r="T58" s="300"/>
      <c r="U58" s="300"/>
      <c r="V58" s="300"/>
      <c r="W58" s="300"/>
      <c r="X58" s="300"/>
      <c r="Y58" s="234"/>
      <c r="Z58" s="234"/>
      <c r="AA58" s="228"/>
      <c r="AB58" s="228"/>
      <c r="AC58" s="234"/>
      <c r="AD58" s="234"/>
      <c r="AE58" s="228">
        <f>x0+L</f>
        <v>3</v>
      </c>
      <c r="AF58" s="228">
        <f>y0+L/2*TAN(RADIANS(60))</f>
        <v>2.5980762113533151</v>
      </c>
      <c r="AG58" s="234">
        <f>x0+L/2</f>
        <v>1.5</v>
      </c>
      <c r="AH58" s="234">
        <f>y0+L/2*TAN(RADIANS(60))</f>
        <v>2.5980762113533151</v>
      </c>
      <c r="AI58" s="234">
        <f>x0-L/2</f>
        <v>-1.5</v>
      </c>
      <c r="AJ58" s="234">
        <f>y0+L</f>
        <v>3</v>
      </c>
      <c r="AK58" s="234">
        <f>x0+L/2*TAN(RADIANS(60))</f>
        <v>2.5980762113533151</v>
      </c>
      <c r="AL58" s="234">
        <f>y0+L/2</f>
        <v>1.5</v>
      </c>
      <c r="AM58" s="234">
        <f>x0+L/2</f>
        <v>1.5</v>
      </c>
      <c r="AN58" s="234">
        <f>y0+L/2</f>
        <v>1.5</v>
      </c>
      <c r="AO58" s="234">
        <f>x0+L/2*TAN(RADIANS(60))</f>
        <v>2.5980762113533151</v>
      </c>
      <c r="AP58" s="234">
        <f>y0+L/2</f>
        <v>1.5</v>
      </c>
      <c r="AQ58" s="234">
        <f>x0-L/2</f>
        <v>-1.5</v>
      </c>
      <c r="AR58" s="234">
        <f>y0+L/2</f>
        <v>1.5</v>
      </c>
      <c r="AS58" s="234">
        <f>x0+L*TAN(RADIANS(60))</f>
        <v>5.1961524227066302</v>
      </c>
      <c r="AT58" s="234">
        <f>y0</f>
        <v>0</v>
      </c>
      <c r="AU58" s="234">
        <f>x0+L/2*TAN(RADIANS(60))</f>
        <v>2.5980762113533151</v>
      </c>
      <c r="AV58" s="234">
        <f>y0</f>
        <v>0</v>
      </c>
      <c r="AW58" s="234">
        <f>x0</f>
        <v>0</v>
      </c>
      <c r="AX58" s="234">
        <f>y0</f>
        <v>0</v>
      </c>
      <c r="AY58" s="234">
        <f>x0+2*L</f>
        <v>6</v>
      </c>
      <c r="AZ58" s="234">
        <f>y0-L/2</f>
        <v>-1.5</v>
      </c>
      <c r="BA58" s="234">
        <f>x0-L</f>
        <v>-3</v>
      </c>
      <c r="BB58" s="234">
        <f>y0</f>
        <v>0</v>
      </c>
      <c r="BC58" s="228">
        <f>x0-3/2*L</f>
        <v>-4.5</v>
      </c>
      <c r="BD58" s="228">
        <f>y0</f>
        <v>0</v>
      </c>
      <c r="BE58" s="234">
        <f>x0-2*L</f>
        <v>-6</v>
      </c>
      <c r="BF58" s="234">
        <f>y0</f>
        <v>0</v>
      </c>
      <c r="BG58" s="228">
        <f>x0+2*L</f>
        <v>6</v>
      </c>
      <c r="BH58" s="228">
        <f>y0-L/2*TAN(RADIANS(60))</f>
        <v>-2.5980762113533151</v>
      </c>
      <c r="BI58" s="228">
        <f>x0+2*L</f>
        <v>6</v>
      </c>
      <c r="BJ58" s="228">
        <f>y0-L/2*TAN(RADIANS(60))</f>
        <v>-2.5980762113533151</v>
      </c>
    </row>
    <row r="59" spans="1:62" x14ac:dyDescent="0.2">
      <c r="A59" s="337">
        <v>11</v>
      </c>
      <c r="B59" s="127">
        <f ca="1">IF(ISNUMBER(G59), G59, INDIRECT(VLOOKUP(np,npTable[],2) &amp;"[Column1]"))</f>
        <v>1.5</v>
      </c>
      <c r="C59" s="127">
        <f ca="1">INDIRECT(VLOOKUP(np,npTable[],2) &amp;"[Column2]")</f>
        <v>3</v>
      </c>
      <c r="D59" s="130">
        <f t="shared" si="0"/>
        <v>100</v>
      </c>
      <c r="E59" s="69"/>
      <c r="F59" s="19"/>
      <c r="G59" s="137"/>
      <c r="H59" s="132"/>
      <c r="I59" s="132"/>
      <c r="J59"/>
      <c r="K59" s="352"/>
      <c r="M59" s="299">
        <v>12</v>
      </c>
      <c r="N59" s="296" t="s">
        <v>232</v>
      </c>
      <c r="O59" s="300"/>
      <c r="P59" s="300"/>
      <c r="Q59" s="300"/>
      <c r="R59" s="300"/>
      <c r="S59" s="300"/>
      <c r="T59" s="300"/>
      <c r="U59" s="300"/>
      <c r="V59" s="300"/>
      <c r="W59" s="300"/>
      <c r="X59" s="300"/>
      <c r="Y59" s="234"/>
      <c r="Z59" s="234"/>
      <c r="AA59" s="228"/>
      <c r="AB59" s="228"/>
      <c r="AC59" s="234"/>
      <c r="AD59" s="234"/>
      <c r="AE59" s="228"/>
      <c r="AF59" s="228"/>
      <c r="AG59" s="234">
        <f>x0+3/2*L</f>
        <v>4.5</v>
      </c>
      <c r="AH59" s="234">
        <f>y0+L/2*TAN(RADIANS(60))</f>
        <v>2.5980762113533151</v>
      </c>
      <c r="AI59" s="234">
        <f>x0+L/2</f>
        <v>1.5</v>
      </c>
      <c r="AJ59" s="234">
        <f>y0+L</f>
        <v>3</v>
      </c>
      <c r="AK59" s="234">
        <f>x0-L*TAN(RADIANS(60))</f>
        <v>-5.1961524227066302</v>
      </c>
      <c r="AL59" s="234">
        <f>y0+L</f>
        <v>3</v>
      </c>
      <c r="AM59" s="234">
        <f>x0+3/2*L</f>
        <v>4.5</v>
      </c>
      <c r="AN59" s="234">
        <f>y0+L/2</f>
        <v>1.5</v>
      </c>
      <c r="AO59" s="234">
        <f>x0-L*TAN(RADIANS(60))</f>
        <v>-5.1961524227066302</v>
      </c>
      <c r="AP59" s="234">
        <f>y0+L</f>
        <v>3</v>
      </c>
      <c r="AQ59" s="234">
        <f>x0+L/2</f>
        <v>1.5</v>
      </c>
      <c r="AR59" s="234">
        <f>y0+L/2</f>
        <v>1.5</v>
      </c>
      <c r="AS59" s="234">
        <f>x0-L/2*TAN(RADIANS(60))</f>
        <v>-2.5980762113533151</v>
      </c>
      <c r="AT59" s="234">
        <f>y0+L/2</f>
        <v>1.5</v>
      </c>
      <c r="AU59" s="234">
        <f>x0-L*TAN(RADIANS(60))</f>
        <v>-5.1961524227066302</v>
      </c>
      <c r="AV59" s="234">
        <f>y0+1/2*L</f>
        <v>1.5</v>
      </c>
      <c r="AW59" s="234">
        <f>x0-L*(1+1/2*TAN(RADIANS(60)))</f>
        <v>-5.5980762113533151</v>
      </c>
      <c r="AX59" s="234">
        <f>y0+L/2</f>
        <v>1.5</v>
      </c>
      <c r="AY59" s="234">
        <f>x0-2*L</f>
        <v>-6</v>
      </c>
      <c r="AZ59" s="234">
        <f>y0+L/2</f>
        <v>1.5</v>
      </c>
      <c r="BA59" s="234">
        <f>x0</f>
        <v>0</v>
      </c>
      <c r="BB59" s="234">
        <f>y0</f>
        <v>0</v>
      </c>
      <c r="BC59" s="228">
        <f>x0-1/2*L</f>
        <v>-1.5</v>
      </c>
      <c r="BD59" s="228">
        <f>y0</f>
        <v>0</v>
      </c>
      <c r="BE59" s="234">
        <f>x0-L</f>
        <v>-3</v>
      </c>
      <c r="BF59" s="234">
        <f>y0</f>
        <v>0</v>
      </c>
      <c r="BG59" s="228">
        <f>x0-3/2*L</f>
        <v>-4.5</v>
      </c>
      <c r="BH59" s="228">
        <f>y0</f>
        <v>0</v>
      </c>
      <c r="BI59" s="228">
        <f>x0-2*L</f>
        <v>-6</v>
      </c>
      <c r="BJ59" s="228">
        <f>y0</f>
        <v>0</v>
      </c>
    </row>
    <row r="60" spans="1:62" x14ac:dyDescent="0.2">
      <c r="A60" s="337">
        <v>12</v>
      </c>
      <c r="B60" s="127">
        <f ca="1">IF(ISNUMBER(G60), G60, INDIRECT(VLOOKUP(np,npTable[],2) &amp;"[Column1]"))</f>
        <v>4.5</v>
      </c>
      <c r="C60" s="127">
        <f ca="1">INDIRECT(VLOOKUP(np,npTable[],2) &amp;"[Column2]")</f>
        <v>3</v>
      </c>
      <c r="D60" s="130">
        <f t="shared" si="0"/>
        <v>100</v>
      </c>
      <c r="E60" s="69"/>
      <c r="F60" s="19"/>
      <c r="G60" s="137"/>
      <c r="H60" s="132"/>
      <c r="I60" s="132"/>
      <c r="J60"/>
      <c r="K60" s="352"/>
      <c r="M60" s="299">
        <v>13</v>
      </c>
      <c r="N60" s="296" t="s">
        <v>245</v>
      </c>
      <c r="O60" s="300"/>
      <c r="P60" s="300"/>
      <c r="Q60" s="300"/>
      <c r="R60" s="300"/>
      <c r="S60" s="300"/>
      <c r="T60" s="300"/>
      <c r="U60" s="300"/>
      <c r="V60" s="300"/>
      <c r="W60" s="300"/>
      <c r="X60" s="300"/>
      <c r="Y60" s="234"/>
      <c r="Z60" s="234"/>
      <c r="AA60" s="228"/>
      <c r="AB60" s="228"/>
      <c r="AC60" s="234"/>
      <c r="AD60" s="234"/>
      <c r="AE60" s="228"/>
      <c r="AF60" s="228"/>
      <c r="AG60" s="234"/>
      <c r="AH60" s="234"/>
      <c r="AI60" s="234">
        <f>x0+3/2*L</f>
        <v>4.5</v>
      </c>
      <c r="AJ60" s="234">
        <f>y0+L</f>
        <v>3</v>
      </c>
      <c r="AK60" s="234">
        <v>0</v>
      </c>
      <c r="AL60" s="234">
        <f>y0+L</f>
        <v>3</v>
      </c>
      <c r="AM60" s="234">
        <f>x0-L</f>
        <v>-3</v>
      </c>
      <c r="AN60" s="234">
        <f>y0+L/2*(1+TAN(RADIANS(60)))</f>
        <v>4.0980762113533151</v>
      </c>
      <c r="AO60" s="234">
        <v>0</v>
      </c>
      <c r="AP60" s="234">
        <f>y0+L</f>
        <v>3</v>
      </c>
      <c r="AQ60" s="234">
        <f>x0+3/2*L</f>
        <v>4.5</v>
      </c>
      <c r="AR60" s="234">
        <f>y0+L/2</f>
        <v>1.5</v>
      </c>
      <c r="AS60" s="234">
        <f>x0+L/2*TAN(RADIANS(60))</f>
        <v>2.5980762113533151</v>
      </c>
      <c r="AT60" s="234">
        <f>y0+L/2</f>
        <v>1.5</v>
      </c>
      <c r="AU60" s="234">
        <f>x0</f>
        <v>0</v>
      </c>
      <c r="AV60" s="234">
        <f>y0+1/2*L</f>
        <v>1.5</v>
      </c>
      <c r="AW60" s="234">
        <f>x0-L/2*TAN(RADIANS(60))</f>
        <v>-2.5980762113533151</v>
      </c>
      <c r="AX60" s="234">
        <f>y0+L/2</f>
        <v>1.5</v>
      </c>
      <c r="AY60" s="234">
        <f>x0-L</f>
        <v>-3</v>
      </c>
      <c r="AZ60" s="234">
        <f>y0+L/2</f>
        <v>1.5</v>
      </c>
      <c r="BA60" s="234">
        <f>x0+L</f>
        <v>3</v>
      </c>
      <c r="BB60" s="234">
        <f>y0</f>
        <v>0</v>
      </c>
      <c r="BC60" s="228">
        <f>x0+1/2*L</f>
        <v>1.5</v>
      </c>
      <c r="BD60" s="228">
        <f>y0</f>
        <v>0</v>
      </c>
      <c r="BE60" s="234">
        <f>x0</f>
        <v>0</v>
      </c>
      <c r="BF60" s="234">
        <f>y0</f>
        <v>0</v>
      </c>
      <c r="BG60" s="228">
        <f>x0-1/2*L</f>
        <v>-1.5</v>
      </c>
      <c r="BH60" s="228">
        <f>y0</f>
        <v>0</v>
      </c>
      <c r="BI60" s="228">
        <f>x0-L</f>
        <v>-3</v>
      </c>
      <c r="BJ60" s="228">
        <f>y0</f>
        <v>0</v>
      </c>
    </row>
    <row r="61" spans="1:62" x14ac:dyDescent="0.2">
      <c r="A61" s="337">
        <v>13</v>
      </c>
      <c r="B61" s="127">
        <f ca="1">IF(ISNUMBER(G61), G61, INDIRECT(VLOOKUP(np,npTable[],2) &amp;"[Column1]"))</f>
        <v>0</v>
      </c>
      <c r="C61" s="127">
        <f ca="1">INDIRECT(VLOOKUP(np,npTable[],2) &amp;"[Column2]")</f>
        <v>0</v>
      </c>
      <c r="D61" s="130">
        <f t="shared" si="0"/>
        <v>0</v>
      </c>
      <c r="E61" s="69"/>
      <c r="F61" s="19"/>
      <c r="G61" s="137"/>
      <c r="H61" s="132"/>
      <c r="I61" s="132"/>
      <c r="J61"/>
      <c r="K61" s="352"/>
      <c r="M61" s="299">
        <v>14</v>
      </c>
      <c r="N61" s="296" t="s">
        <v>246</v>
      </c>
      <c r="O61" s="300"/>
      <c r="P61" s="300"/>
      <c r="Q61" s="300"/>
      <c r="R61" s="300"/>
      <c r="S61" s="300"/>
      <c r="T61" s="300"/>
      <c r="U61" s="300"/>
      <c r="V61" s="300"/>
      <c r="W61" s="300"/>
      <c r="X61" s="300"/>
      <c r="Y61" s="234"/>
      <c r="Z61" s="234"/>
      <c r="AA61" s="228"/>
      <c r="AB61" s="228"/>
      <c r="AC61" s="234"/>
      <c r="AD61" s="234"/>
      <c r="AE61" s="228"/>
      <c r="AF61" s="228"/>
      <c r="AG61" s="234"/>
      <c r="AH61" s="234"/>
      <c r="AI61" s="234"/>
      <c r="AJ61" s="234"/>
      <c r="AK61" s="234">
        <f>x0+L*TAN(RADIANS(60))</f>
        <v>5.1961524227066302</v>
      </c>
      <c r="AL61" s="234">
        <f>y0+L</f>
        <v>3</v>
      </c>
      <c r="AM61" s="234">
        <f>x0</f>
        <v>0</v>
      </c>
      <c r="AN61" s="234">
        <f>y0+L/2*(1+TAN(RADIANS(60)))</f>
        <v>4.0980762113533151</v>
      </c>
      <c r="AO61" s="234">
        <f>x0+L*TAN(RADIANS(60))</f>
        <v>5.1961524227066302</v>
      </c>
      <c r="AP61" s="234">
        <f>y0+L</f>
        <v>3</v>
      </c>
      <c r="AQ61" s="234">
        <f>x0-3/2*L</f>
        <v>-4.5</v>
      </c>
      <c r="AR61" s="234">
        <f>y0+L*3/2</f>
        <v>4.5</v>
      </c>
      <c r="AS61" s="234">
        <f>x0-L*TAN(RADIANS(60))</f>
        <v>-5.1961524227066302</v>
      </c>
      <c r="AT61" s="234">
        <f>y0+L</f>
        <v>3</v>
      </c>
      <c r="AU61" s="234">
        <f>x0+L*TAN(RADIANS(60))</f>
        <v>5.1961524227066302</v>
      </c>
      <c r="AV61" s="234">
        <f>y0+1/2*L</f>
        <v>1.5</v>
      </c>
      <c r="AW61" s="234">
        <f>x0+L/2*TAN(RADIANS(60))</f>
        <v>2.5980762113533151</v>
      </c>
      <c r="AX61" s="234">
        <f>y0+L/2</f>
        <v>1.5</v>
      </c>
      <c r="AY61" s="234">
        <f>x0</f>
        <v>0</v>
      </c>
      <c r="AZ61" s="234">
        <f>y0+L/2</f>
        <v>1.5</v>
      </c>
      <c r="BA61" s="234">
        <f>x0-L*(1+1/2*TAN(RADIANS(60)))</f>
        <v>-5.5980762113533151</v>
      </c>
      <c r="BB61" s="234">
        <f>y0+1/2*L</f>
        <v>1.5</v>
      </c>
      <c r="BC61" s="228">
        <f>x0+3/2*L</f>
        <v>4.5</v>
      </c>
      <c r="BD61" s="228">
        <f>y0</f>
        <v>0</v>
      </c>
      <c r="BE61" s="234">
        <f>x0+L</f>
        <v>3</v>
      </c>
      <c r="BF61" s="234">
        <f>y0</f>
        <v>0</v>
      </c>
      <c r="BG61" s="228">
        <f>x0+1/2*L</f>
        <v>1.5</v>
      </c>
      <c r="BH61" s="228">
        <f>y0</f>
        <v>0</v>
      </c>
      <c r="BI61" s="228">
        <f>x0</f>
        <v>0</v>
      </c>
      <c r="BJ61" s="228">
        <f>y0</f>
        <v>0</v>
      </c>
    </row>
    <row r="62" spans="1:62" x14ac:dyDescent="0.2">
      <c r="A62" s="337">
        <v>14</v>
      </c>
      <c r="B62" s="127">
        <f ca="1">IF(ISNUMBER(G62), G62, INDIRECT(VLOOKUP(np,npTable[],2) &amp;"[Column1]"))</f>
        <v>0</v>
      </c>
      <c r="C62" s="127">
        <f ca="1">INDIRECT(VLOOKUP(np,npTable[],2) &amp;"[Column2]")</f>
        <v>0</v>
      </c>
      <c r="D62" s="130">
        <f t="shared" si="0"/>
        <v>0</v>
      </c>
      <c r="E62" s="69"/>
      <c r="F62" s="19"/>
      <c r="G62" s="137"/>
      <c r="H62" s="132"/>
      <c r="I62" s="132"/>
      <c r="J62"/>
      <c r="K62" s="352"/>
      <c r="M62" s="299">
        <v>15</v>
      </c>
      <c r="N62" s="296" t="s">
        <v>247</v>
      </c>
      <c r="O62" s="300"/>
      <c r="P62" s="300"/>
      <c r="Q62" s="300"/>
      <c r="R62" s="300"/>
      <c r="S62" s="300"/>
      <c r="T62" s="300"/>
      <c r="U62" s="300"/>
      <c r="V62" s="300"/>
      <c r="W62" s="300"/>
      <c r="X62" s="300"/>
      <c r="Y62" s="234"/>
      <c r="Z62" s="234"/>
      <c r="AA62" s="228"/>
      <c r="AB62" s="228"/>
      <c r="AC62" s="234"/>
      <c r="AD62" s="234"/>
      <c r="AE62" s="228"/>
      <c r="AF62" s="228"/>
      <c r="AG62" s="234"/>
      <c r="AH62" s="234"/>
      <c r="AI62" s="234"/>
      <c r="AJ62" s="234"/>
      <c r="AK62" s="234"/>
      <c r="AL62" s="234"/>
      <c r="AM62" s="234">
        <f>x0+L</f>
        <v>3</v>
      </c>
      <c r="AN62" s="234">
        <f>y0+L/2*(1+TAN(RADIANS(60)))</f>
        <v>4.0980762113533151</v>
      </c>
      <c r="AO62" s="234">
        <f>x0-L/2*TAN(RADIANS(60))</f>
        <v>-2.5980762113533151</v>
      </c>
      <c r="AP62" s="234">
        <f>y0+L*3/2</f>
        <v>4.5</v>
      </c>
      <c r="AQ62" s="234">
        <f>x0-L/2</f>
        <v>-1.5</v>
      </c>
      <c r="AR62" s="234">
        <f>y0+L*3/2</f>
        <v>4.5</v>
      </c>
      <c r="AS62" s="234">
        <v>0</v>
      </c>
      <c r="AT62" s="234">
        <f>y0+L</f>
        <v>3</v>
      </c>
      <c r="AU62" s="234">
        <f>x0-L/2*TAN(RADIANS(60))</f>
        <v>-2.5980762113533151</v>
      </c>
      <c r="AV62" s="234">
        <f>y0+L</f>
        <v>3</v>
      </c>
      <c r="AW62" s="234">
        <f>x0+L*(1+1/2*TAN(RADIANS(60)))</f>
        <v>5.5980762113533151</v>
      </c>
      <c r="AX62" s="234">
        <f>y0+L/2</f>
        <v>1.5</v>
      </c>
      <c r="AY62" s="234">
        <f>x0+L</f>
        <v>3</v>
      </c>
      <c r="AZ62" s="234">
        <f>y0+L/2</f>
        <v>1.5</v>
      </c>
      <c r="BA62" s="234">
        <f>x0+L*(1+1/2*TAN(RADIANS(60)))</f>
        <v>5.5980762113533151</v>
      </c>
      <c r="BB62" s="234">
        <f>y0+1/2*L</f>
        <v>1.5</v>
      </c>
      <c r="BC62" s="228">
        <f>x0-2*L</f>
        <v>-6</v>
      </c>
      <c r="BD62" s="228">
        <f>y0+L/2*TAN(RADIANS(60))</f>
        <v>2.5980762113533151</v>
      </c>
      <c r="BE62" s="234">
        <f>x0+2*L</f>
        <v>6</v>
      </c>
      <c r="BF62" s="234">
        <f>y0</f>
        <v>0</v>
      </c>
      <c r="BG62" s="228">
        <f>x0+3/2*L</f>
        <v>4.5</v>
      </c>
      <c r="BH62" s="228">
        <f>y0</f>
        <v>0</v>
      </c>
      <c r="BI62" s="228">
        <f>x0+L</f>
        <v>3</v>
      </c>
      <c r="BJ62" s="228">
        <f>y0</f>
        <v>0</v>
      </c>
    </row>
    <row r="63" spans="1:62" x14ac:dyDescent="0.2">
      <c r="A63" s="337">
        <v>15</v>
      </c>
      <c r="B63" s="127">
        <f ca="1">IF(ISNUMBER(G63), G63, INDIRECT(VLOOKUP(np,npTable[],2) &amp;"[Column1]"))</f>
        <v>0</v>
      </c>
      <c r="C63" s="127">
        <f ca="1">INDIRECT(VLOOKUP(np,npTable[],2) &amp;"[Column2]")</f>
        <v>0</v>
      </c>
      <c r="D63" s="130">
        <f t="shared" si="0"/>
        <v>0</v>
      </c>
      <c r="E63" s="69"/>
      <c r="F63" s="19"/>
      <c r="G63" s="138"/>
      <c r="H63" s="133"/>
      <c r="I63" s="133"/>
      <c r="J63"/>
      <c r="K63" s="352"/>
      <c r="M63" s="299">
        <v>16</v>
      </c>
      <c r="N63" s="296" t="s">
        <v>248</v>
      </c>
      <c r="O63" s="300"/>
      <c r="P63" s="300"/>
      <c r="Q63" s="300"/>
      <c r="R63" s="300"/>
      <c r="S63" s="300"/>
      <c r="T63" s="300"/>
      <c r="U63" s="300"/>
      <c r="V63" s="300"/>
      <c r="W63" s="300"/>
      <c r="X63" s="300"/>
      <c r="Y63" s="234"/>
      <c r="Z63" s="234"/>
      <c r="AA63" s="228"/>
      <c r="AB63" s="228"/>
      <c r="AC63" s="234"/>
      <c r="AD63" s="234"/>
      <c r="AE63" s="228"/>
      <c r="AF63" s="228"/>
      <c r="AG63" s="234"/>
      <c r="AH63" s="234"/>
      <c r="AI63" s="234"/>
      <c r="AJ63" s="234"/>
      <c r="AK63" s="234"/>
      <c r="AL63" s="234"/>
      <c r="AM63" s="234"/>
      <c r="AN63" s="234"/>
      <c r="AO63" s="234">
        <f>x0+L/2*TAN(RADIANS(60))</f>
        <v>2.5980762113533151</v>
      </c>
      <c r="AP63" s="234">
        <f>y0+L*3/2</f>
        <v>4.5</v>
      </c>
      <c r="AQ63" s="234">
        <f>x0+L/2</f>
        <v>1.5</v>
      </c>
      <c r="AR63" s="234">
        <f>y0+L*3/2</f>
        <v>4.5</v>
      </c>
      <c r="AS63" s="234">
        <f>x0+L*TAN(RADIANS(60))</f>
        <v>5.1961524227066302</v>
      </c>
      <c r="AT63" s="234">
        <f>y0+L</f>
        <v>3</v>
      </c>
      <c r="AU63" s="234">
        <f>x0+L/2*TAN(RADIANS(60))</f>
        <v>2.5980762113533151</v>
      </c>
      <c r="AV63" s="234">
        <f>y0+L</f>
        <v>3</v>
      </c>
      <c r="AW63" s="234">
        <f>x0</f>
        <v>0</v>
      </c>
      <c r="AX63" s="234">
        <f>y0+L</f>
        <v>3</v>
      </c>
      <c r="AY63" s="234">
        <f>x0+2*L</f>
        <v>6</v>
      </c>
      <c r="AZ63" s="234">
        <f>y0+L/2</f>
        <v>1.5</v>
      </c>
      <c r="BA63" s="234">
        <f>x0-L</f>
        <v>-3</v>
      </c>
      <c r="BB63" s="234">
        <f>y0+L</f>
        <v>3</v>
      </c>
      <c r="BC63" s="228">
        <f>x0-L</f>
        <v>-3</v>
      </c>
      <c r="BD63" s="228">
        <f>y0+L/2*TAN(RADIANS(60))</f>
        <v>2.5980762113533151</v>
      </c>
      <c r="BE63" s="234">
        <f>x0-2*L</f>
        <v>-6</v>
      </c>
      <c r="BF63" s="234">
        <f>y0+L</f>
        <v>3</v>
      </c>
      <c r="BG63" s="228">
        <f>x0-2*L</f>
        <v>-6</v>
      </c>
      <c r="BH63" s="228">
        <f>y0+L/2*TAN(RADIANS(60))</f>
        <v>2.5980762113533151</v>
      </c>
      <c r="BI63" s="228">
        <f>x0+2*L</f>
        <v>6</v>
      </c>
      <c r="BJ63" s="228">
        <f>y0</f>
        <v>0</v>
      </c>
    </row>
    <row r="64" spans="1:62" x14ac:dyDescent="0.2">
      <c r="A64" s="337">
        <v>16</v>
      </c>
      <c r="B64" s="127">
        <f ca="1">IF(ISNUMBER(G64), G64, INDIRECT(VLOOKUP(np,npTable[],2) &amp;"[Column1]"))</f>
        <v>0</v>
      </c>
      <c r="C64" s="127">
        <f ca="1">INDIRECT(VLOOKUP(np,npTable[],2) &amp;"[Column2]")</f>
        <v>0</v>
      </c>
      <c r="D64" s="130">
        <f t="shared" si="0"/>
        <v>0</v>
      </c>
      <c r="E64" s="69"/>
      <c r="F64" s="19"/>
      <c r="G64" s="138"/>
      <c r="H64" s="133"/>
      <c r="I64" s="133"/>
      <c r="J64"/>
      <c r="K64" s="352"/>
      <c r="M64" s="299">
        <v>17</v>
      </c>
      <c r="N64" s="296" t="s">
        <v>249</v>
      </c>
      <c r="O64" s="300"/>
      <c r="P64" s="300"/>
      <c r="Q64" s="300"/>
      <c r="R64" s="300"/>
      <c r="S64" s="300"/>
      <c r="T64" s="300"/>
      <c r="U64" s="300"/>
      <c r="V64" s="300"/>
      <c r="W64" s="300"/>
      <c r="X64" s="300"/>
      <c r="Y64" s="234"/>
      <c r="Z64" s="234"/>
      <c r="AA64" s="228"/>
      <c r="AB64" s="228"/>
      <c r="AC64" s="234"/>
      <c r="AD64" s="234"/>
      <c r="AE64" s="228"/>
      <c r="AF64" s="228"/>
      <c r="AG64" s="234"/>
      <c r="AH64" s="234"/>
      <c r="AI64" s="234"/>
      <c r="AJ64" s="234"/>
      <c r="AK64" s="234"/>
      <c r="AL64" s="234"/>
      <c r="AM64" s="234"/>
      <c r="AN64" s="234"/>
      <c r="AO64" s="234"/>
      <c r="AP64" s="234"/>
      <c r="AQ64" s="234">
        <f>x0+3/2*L</f>
        <v>4.5</v>
      </c>
      <c r="AR64" s="234">
        <f>y0+L*3/2</f>
        <v>4.5</v>
      </c>
      <c r="AS64" s="234">
        <f>x0-L/2*TAN(RADIANS(60))</f>
        <v>-2.5980762113533151</v>
      </c>
      <c r="AT64" s="234">
        <f>y0+L*3/2</f>
        <v>4.5</v>
      </c>
      <c r="AU64" s="234">
        <f>x0-L*TAN(RADIANS(60))</f>
        <v>-5.1961524227066302</v>
      </c>
      <c r="AV64" s="234">
        <f>y0+3/2*L</f>
        <v>4.5</v>
      </c>
      <c r="AW64" s="234">
        <f>x0-L*(1+1/2*TAN(RADIANS(60)))</f>
        <v>-5.5980762113533151</v>
      </c>
      <c r="AX64" s="234">
        <f>y0+3/2*L</f>
        <v>4.5</v>
      </c>
      <c r="AY64" s="234">
        <f>x0-2*L</f>
        <v>-6</v>
      </c>
      <c r="AZ64" s="234">
        <f>y0+3/2*L</f>
        <v>4.5</v>
      </c>
      <c r="BA64" s="234">
        <f>x0</f>
        <v>0</v>
      </c>
      <c r="BB64" s="234">
        <f>y0+L</f>
        <v>3</v>
      </c>
      <c r="BC64" s="228">
        <f>x0</f>
        <v>0</v>
      </c>
      <c r="BD64" s="228">
        <f>y0+L/2*TAN(RADIANS(60))</f>
        <v>2.5980762113533151</v>
      </c>
      <c r="BE64" s="234">
        <f>x0-L</f>
        <v>-3</v>
      </c>
      <c r="BF64" s="234">
        <f>y0+L</f>
        <v>3</v>
      </c>
      <c r="BG64" s="228">
        <f>x0-L</f>
        <v>-3</v>
      </c>
      <c r="BH64" s="228">
        <f>y0+L/2*TAN(RADIANS(60))</f>
        <v>2.5980762113533151</v>
      </c>
      <c r="BI64" s="228">
        <f>x0-2*L</f>
        <v>-6</v>
      </c>
      <c r="BJ64" s="228">
        <f>y0+L/2*TAN(RADIANS(60))</f>
        <v>2.5980762113533151</v>
      </c>
    </row>
    <row r="65" spans="1:62" x14ac:dyDescent="0.2">
      <c r="A65" s="337">
        <v>17</v>
      </c>
      <c r="B65" s="127">
        <f ca="1">IF(ISNUMBER(G65), G65, INDIRECT(VLOOKUP(np,npTable[],2) &amp;"[Column1]"))</f>
        <v>0</v>
      </c>
      <c r="C65" s="127">
        <f ca="1">INDIRECT(VLOOKUP(np,npTable[],2) &amp;"[Column2]")</f>
        <v>0</v>
      </c>
      <c r="D65" s="130">
        <f t="shared" si="0"/>
        <v>0</v>
      </c>
      <c r="E65" s="69"/>
      <c r="F65" s="19"/>
      <c r="G65" s="138"/>
      <c r="H65" s="133"/>
      <c r="I65" s="133"/>
      <c r="J65"/>
      <c r="K65" s="352"/>
      <c r="M65" s="299">
        <v>18</v>
      </c>
      <c r="N65" s="296" t="s">
        <v>250</v>
      </c>
      <c r="O65" s="300"/>
      <c r="P65" s="300"/>
      <c r="Q65" s="300"/>
      <c r="R65" s="300"/>
      <c r="S65" s="300"/>
      <c r="T65" s="300"/>
      <c r="U65" s="300"/>
      <c r="V65" s="300"/>
      <c r="W65" s="300"/>
      <c r="X65" s="300"/>
      <c r="Y65" s="234"/>
      <c r="Z65" s="234"/>
      <c r="AA65" s="228"/>
      <c r="AB65" s="228"/>
      <c r="AC65" s="234"/>
      <c r="AD65" s="234"/>
      <c r="AE65" s="228"/>
      <c r="AF65" s="228"/>
      <c r="AG65" s="234"/>
      <c r="AH65" s="234"/>
      <c r="AI65" s="234"/>
      <c r="AJ65" s="234"/>
      <c r="AK65" s="234"/>
      <c r="AL65" s="234"/>
      <c r="AM65" s="234"/>
      <c r="AN65" s="234"/>
      <c r="AO65" s="234"/>
      <c r="AP65" s="234"/>
      <c r="AQ65" s="234"/>
      <c r="AR65" s="234"/>
      <c r="AS65" s="234">
        <f>x0+L/2*TAN(RADIANS(60))</f>
        <v>2.5980762113533151</v>
      </c>
      <c r="AT65" s="234">
        <f>y0+L*3/2</f>
        <v>4.5</v>
      </c>
      <c r="AU65" s="234">
        <f>x0</f>
        <v>0</v>
      </c>
      <c r="AV65" s="234">
        <f>y0+3/2*L</f>
        <v>4.5</v>
      </c>
      <c r="AW65" s="234">
        <f>x0-L/2*TAN(RADIANS(60))</f>
        <v>-2.5980762113533151</v>
      </c>
      <c r="AX65" s="234">
        <f>y0+3/2*L</f>
        <v>4.5</v>
      </c>
      <c r="AY65" s="234">
        <f>x0-L</f>
        <v>-3</v>
      </c>
      <c r="AZ65" s="234">
        <f>y0+3/2*L</f>
        <v>4.5</v>
      </c>
      <c r="BA65" s="234">
        <f>x0+L</f>
        <v>3</v>
      </c>
      <c r="BB65" s="234">
        <f>y0+L</f>
        <v>3</v>
      </c>
      <c r="BC65" s="228">
        <f>x0+L</f>
        <v>3</v>
      </c>
      <c r="BD65" s="228">
        <f>y0+L/2*TAN(RADIANS(60))</f>
        <v>2.5980762113533151</v>
      </c>
      <c r="BE65" s="234">
        <f>x0</f>
        <v>0</v>
      </c>
      <c r="BF65" s="234">
        <f>y0+L</f>
        <v>3</v>
      </c>
      <c r="BG65" s="228">
        <f>x0</f>
        <v>0</v>
      </c>
      <c r="BH65" s="228">
        <f>y0+L/2*TAN(RADIANS(60))</f>
        <v>2.5980762113533151</v>
      </c>
      <c r="BI65" s="228">
        <f>x0-L</f>
        <v>-3</v>
      </c>
      <c r="BJ65" s="228">
        <f>y0+L/2*TAN(RADIANS(60))</f>
        <v>2.5980762113533151</v>
      </c>
    </row>
    <row r="66" spans="1:62" x14ac:dyDescent="0.2">
      <c r="A66" s="337">
        <v>18</v>
      </c>
      <c r="B66" s="127">
        <f ca="1">IF(ISNUMBER(G66), G66, INDIRECT(VLOOKUP(np,npTable[],2) &amp;"[Column1]"))</f>
        <v>0</v>
      </c>
      <c r="C66" s="127">
        <f ca="1">INDIRECT(VLOOKUP(np,npTable[],2) &amp;"[Column2]")</f>
        <v>0</v>
      </c>
      <c r="D66" s="130">
        <f t="shared" si="0"/>
        <v>0</v>
      </c>
      <c r="E66" s="69"/>
      <c r="F66" s="19"/>
      <c r="G66" s="138"/>
      <c r="H66" s="133"/>
      <c r="I66" s="133"/>
      <c r="J66"/>
      <c r="K66" s="352"/>
      <c r="M66" s="299">
        <v>19</v>
      </c>
      <c r="N66" s="296" t="s">
        <v>251</v>
      </c>
      <c r="O66" s="300"/>
      <c r="P66" s="300"/>
      <c r="Q66" s="300"/>
      <c r="R66" s="300"/>
      <c r="S66" s="300"/>
      <c r="T66" s="300"/>
      <c r="U66" s="300"/>
      <c r="V66" s="300"/>
      <c r="W66" s="300"/>
      <c r="X66" s="300"/>
      <c r="Y66" s="234"/>
      <c r="Z66" s="234"/>
      <c r="AA66" s="228"/>
      <c r="AB66" s="228"/>
      <c r="AC66" s="234"/>
      <c r="AD66" s="234"/>
      <c r="AE66" s="228"/>
      <c r="AF66" s="228"/>
      <c r="AG66" s="234"/>
      <c r="AH66" s="234"/>
      <c r="AI66" s="234"/>
      <c r="AJ66" s="234"/>
      <c r="AK66" s="234"/>
      <c r="AL66" s="234"/>
      <c r="AM66" s="234"/>
      <c r="AN66" s="234"/>
      <c r="AO66" s="234"/>
      <c r="AP66" s="234"/>
      <c r="AQ66" s="234"/>
      <c r="AR66" s="234"/>
      <c r="AS66" s="234"/>
      <c r="AT66" s="234"/>
      <c r="AU66" s="234">
        <f>x0+L*TAN(RADIANS(60))</f>
        <v>5.1961524227066302</v>
      </c>
      <c r="AV66" s="234">
        <f>y0+3/2*L</f>
        <v>4.5</v>
      </c>
      <c r="AW66" s="234">
        <f>x0+L/2*TAN(RADIANS(60))</f>
        <v>2.5980762113533151</v>
      </c>
      <c r="AX66" s="234">
        <f>y0+3/2*L</f>
        <v>4.5</v>
      </c>
      <c r="AY66" s="234">
        <f>x0</f>
        <v>0</v>
      </c>
      <c r="AZ66" s="234">
        <f>y0+3/2*L</f>
        <v>4.5</v>
      </c>
      <c r="BA66" s="234">
        <f>x0-L*(1+1/2*TAN(RADIANS(60)))</f>
        <v>-5.5980762113533151</v>
      </c>
      <c r="BB66" s="234">
        <f>y0+3/2*L</f>
        <v>4.5</v>
      </c>
      <c r="BC66" s="228">
        <f>x0+2*L</f>
        <v>6</v>
      </c>
      <c r="BD66" s="228">
        <f>y0+L/2*TAN(RADIANS(60))</f>
        <v>2.5980762113533151</v>
      </c>
      <c r="BE66" s="234">
        <f>x0+L</f>
        <v>3</v>
      </c>
      <c r="BF66" s="234">
        <f>y0+L</f>
        <v>3</v>
      </c>
      <c r="BG66" s="228">
        <f>x0+L</f>
        <v>3</v>
      </c>
      <c r="BH66" s="228">
        <f>y0+L/2*TAN(RADIANS(60))</f>
        <v>2.5980762113533151</v>
      </c>
      <c r="BI66" s="228">
        <f>x0</f>
        <v>0</v>
      </c>
      <c r="BJ66" s="228">
        <f>y0+L/2*TAN(RADIANS(60))</f>
        <v>2.5980762113533151</v>
      </c>
    </row>
    <row r="67" spans="1:62" x14ac:dyDescent="0.2">
      <c r="A67" s="337">
        <v>19</v>
      </c>
      <c r="B67" s="127">
        <f ca="1">IF(ISNUMBER(G67), G67, INDIRECT(VLOOKUP(np,npTable[],2) &amp;"[Column1]"))</f>
        <v>0</v>
      </c>
      <c r="C67" s="127">
        <f ca="1">INDIRECT(VLOOKUP(np,npTable[],2) &amp;"[Column2]")</f>
        <v>0</v>
      </c>
      <c r="D67" s="130">
        <f t="shared" si="0"/>
        <v>0</v>
      </c>
      <c r="E67" s="69"/>
      <c r="F67" s="19"/>
      <c r="G67" s="138"/>
      <c r="H67" s="133"/>
      <c r="I67" s="133"/>
      <c r="J67"/>
      <c r="K67" s="352"/>
      <c r="M67" s="299">
        <v>20</v>
      </c>
      <c r="N67" s="296" t="s">
        <v>231</v>
      </c>
      <c r="O67" s="300"/>
      <c r="P67" s="300"/>
      <c r="Q67" s="300"/>
      <c r="R67" s="300"/>
      <c r="S67" s="300"/>
      <c r="T67" s="300"/>
      <c r="U67" s="300"/>
      <c r="V67" s="300"/>
      <c r="W67" s="300"/>
      <c r="X67" s="300"/>
      <c r="Y67" s="234"/>
      <c r="Z67" s="234"/>
      <c r="AA67" s="228"/>
      <c r="AB67" s="228"/>
      <c r="AC67" s="234"/>
      <c r="AD67" s="234"/>
      <c r="AE67" s="228"/>
      <c r="AF67" s="228"/>
      <c r="AG67" s="234"/>
      <c r="AH67" s="234"/>
      <c r="AI67" s="234"/>
      <c r="AJ67" s="234"/>
      <c r="AK67" s="234"/>
      <c r="AL67" s="234"/>
      <c r="AM67" s="234"/>
      <c r="AN67" s="234"/>
      <c r="AO67" s="234"/>
      <c r="AP67" s="234"/>
      <c r="AQ67" s="234"/>
      <c r="AR67" s="234"/>
      <c r="AS67" s="234"/>
      <c r="AT67" s="234"/>
      <c r="AU67" s="234"/>
      <c r="AV67" s="234"/>
      <c r="AW67" s="234">
        <f>x0+L*(1+1/2*TAN(RADIANS(60)))</f>
        <v>5.5980762113533151</v>
      </c>
      <c r="AX67" s="234">
        <f>y0+3/2*L</f>
        <v>4.5</v>
      </c>
      <c r="AY67" s="234">
        <f>x0+L</f>
        <v>3</v>
      </c>
      <c r="AZ67" s="234">
        <f>y0+3/2*L</f>
        <v>4.5</v>
      </c>
      <c r="BA67" s="234">
        <f>x0+L*(1+1/2*TAN(RADIANS(60)))</f>
        <v>5.5980762113533151</v>
      </c>
      <c r="BB67" s="234">
        <f>y0+3/2*L</f>
        <v>4.5</v>
      </c>
      <c r="BC67" s="228">
        <f>x0-3/2*L</f>
        <v>-4.5</v>
      </c>
      <c r="BD67" s="228">
        <f>y0+L*TAN(RADIANS(60))</f>
        <v>5.1961524227066302</v>
      </c>
      <c r="BE67" s="234">
        <f>x0+2*L</f>
        <v>6</v>
      </c>
      <c r="BF67" s="234">
        <f>y0+L</f>
        <v>3</v>
      </c>
      <c r="BG67" s="228">
        <f>x0+2*L</f>
        <v>6</v>
      </c>
      <c r="BH67" s="228">
        <f>y0+L/2*TAN(RADIANS(60))</f>
        <v>2.5980762113533151</v>
      </c>
      <c r="BI67" s="228">
        <f>x0+L</f>
        <v>3</v>
      </c>
      <c r="BJ67" s="228">
        <f>y0+L/2*TAN(RADIANS(60))</f>
        <v>2.5980762113533151</v>
      </c>
    </row>
    <row r="68" spans="1:62" x14ac:dyDescent="0.2">
      <c r="A68" s="337">
        <v>20</v>
      </c>
      <c r="B68" s="127">
        <f ca="1">IF(ISNUMBER(G68), G68, INDIRECT(VLOOKUP(np,npTable[],2) &amp;"[Column1]"))</f>
        <v>0</v>
      </c>
      <c r="C68" s="127">
        <f ca="1">INDIRECT(VLOOKUP(np,npTable[],2) &amp;"[Column2]")</f>
        <v>0</v>
      </c>
      <c r="D68" s="130">
        <f t="shared" si="0"/>
        <v>0</v>
      </c>
      <c r="E68" s="69"/>
      <c r="F68" s="19"/>
      <c r="G68" s="138"/>
      <c r="H68" s="133"/>
      <c r="I68" s="133"/>
      <c r="J68"/>
      <c r="K68" s="352"/>
      <c r="M68" s="299">
        <v>21</v>
      </c>
      <c r="N68" s="296" t="s">
        <v>252</v>
      </c>
      <c r="O68" s="300"/>
      <c r="P68" s="300"/>
      <c r="Q68" s="300"/>
      <c r="R68" s="300"/>
      <c r="S68" s="300"/>
      <c r="T68" s="300"/>
      <c r="U68" s="300"/>
      <c r="V68" s="300"/>
      <c r="W68" s="300"/>
      <c r="X68" s="300"/>
      <c r="Y68" s="234"/>
      <c r="Z68" s="234"/>
      <c r="AA68" s="228"/>
      <c r="AB68" s="228"/>
      <c r="AC68" s="234"/>
      <c r="AD68" s="234"/>
      <c r="AE68" s="228"/>
      <c r="AF68" s="228"/>
      <c r="AG68" s="234"/>
      <c r="AH68" s="234"/>
      <c r="AI68" s="234"/>
      <c r="AJ68" s="234"/>
      <c r="AK68" s="234"/>
      <c r="AL68" s="234"/>
      <c r="AM68" s="234"/>
      <c r="AN68" s="234"/>
      <c r="AO68" s="234"/>
      <c r="AP68" s="234"/>
      <c r="AQ68" s="234"/>
      <c r="AR68" s="234"/>
      <c r="AS68" s="234"/>
      <c r="AT68" s="234"/>
      <c r="AU68" s="234"/>
      <c r="AV68" s="234"/>
      <c r="AW68" s="234"/>
      <c r="AX68" s="234"/>
      <c r="AY68" s="234">
        <f>x0+2*L</f>
        <v>6</v>
      </c>
      <c r="AZ68" s="234">
        <f>y0+3/2*L</f>
        <v>4.5</v>
      </c>
      <c r="BA68" s="234">
        <f>x0-L/2</f>
        <v>-1.5</v>
      </c>
      <c r="BB68" s="234">
        <f>y0+L*(1+1/2*TAN(RADIANS(60)))</f>
        <v>5.5980762113533151</v>
      </c>
      <c r="BC68" s="228">
        <f>x0-1/2*L</f>
        <v>-1.5</v>
      </c>
      <c r="BD68" s="228">
        <f>y0+L*TAN(RADIANS(60))</f>
        <v>5.1961524227066302</v>
      </c>
      <c r="BE68" s="228">
        <f>x0-3/2*L</f>
        <v>-4.5</v>
      </c>
      <c r="BF68" s="234">
        <f>y0+L*(1+1/2*TAN(RADIANS(60)))</f>
        <v>5.5980762113533151</v>
      </c>
      <c r="BG68" s="228">
        <f>x0-2*L</f>
        <v>-6</v>
      </c>
      <c r="BH68" s="228">
        <f>y0+L*(1+1/2*TAN(RADIANS(60)))</f>
        <v>5.5980762113533151</v>
      </c>
      <c r="BI68" s="228">
        <f>x0+2*L</f>
        <v>6</v>
      </c>
      <c r="BJ68" s="228">
        <f>y0+L/2*TAN(RADIANS(60))</f>
        <v>2.5980762113533151</v>
      </c>
    </row>
    <row r="69" spans="1:62" x14ac:dyDescent="0.2">
      <c r="A69" s="337">
        <v>21</v>
      </c>
      <c r="B69" s="127">
        <f ca="1">IF(ISNUMBER(G69), G69, INDIRECT(VLOOKUP(np,npTable[],2) &amp;"[Column1]"))</f>
        <v>0</v>
      </c>
      <c r="C69" s="127">
        <f ca="1">INDIRECT(VLOOKUP(np,npTable[],2) &amp;"[Column2]")</f>
        <v>0</v>
      </c>
      <c r="D69" s="130">
        <f t="shared" si="0"/>
        <v>0</v>
      </c>
      <c r="E69" s="69"/>
      <c r="F69" s="19"/>
      <c r="G69" s="139"/>
      <c r="H69" s="134"/>
      <c r="I69" s="134"/>
      <c r="J69"/>
      <c r="K69" s="352"/>
      <c r="M69" s="299">
        <v>22</v>
      </c>
      <c r="N69" s="296" t="s">
        <v>253</v>
      </c>
      <c r="O69" s="300"/>
      <c r="P69" s="300"/>
      <c r="Q69" s="300"/>
      <c r="R69" s="300"/>
      <c r="S69" s="300"/>
      <c r="T69" s="300"/>
      <c r="U69" s="300"/>
      <c r="V69" s="300"/>
      <c r="W69" s="300"/>
      <c r="X69" s="300"/>
      <c r="Y69" s="234"/>
      <c r="Z69" s="234"/>
      <c r="AA69" s="228"/>
      <c r="AB69" s="228"/>
      <c r="AC69" s="234"/>
      <c r="AD69" s="234"/>
      <c r="AE69" s="228"/>
      <c r="AF69" s="228"/>
      <c r="AG69" s="234"/>
      <c r="AH69" s="234"/>
      <c r="AI69" s="234"/>
      <c r="AJ69" s="234"/>
      <c r="AK69" s="234"/>
      <c r="AL69" s="234"/>
      <c r="AM69" s="234"/>
      <c r="AN69" s="234"/>
      <c r="AO69" s="234"/>
      <c r="AP69" s="234"/>
      <c r="AQ69" s="234"/>
      <c r="AR69" s="234"/>
      <c r="AS69" s="234"/>
      <c r="AT69" s="234"/>
      <c r="AU69" s="234"/>
      <c r="AV69" s="234"/>
      <c r="AW69" s="234"/>
      <c r="AX69" s="234"/>
      <c r="AY69" s="234"/>
      <c r="AZ69" s="234"/>
      <c r="BA69" s="234">
        <f>x0+L/2</f>
        <v>1.5</v>
      </c>
      <c r="BB69" s="234">
        <f>y0+L*(1+1/2*TAN(RADIANS(60)))</f>
        <v>5.5980762113533151</v>
      </c>
      <c r="BC69" s="228">
        <f>x0+1/2*L</f>
        <v>1.5</v>
      </c>
      <c r="BD69" s="228">
        <f>y0+L*TAN(RADIANS(60))</f>
        <v>5.1961524227066302</v>
      </c>
      <c r="BE69" s="228">
        <f>x0-1/2*L</f>
        <v>-1.5</v>
      </c>
      <c r="BF69" s="234">
        <f>y0+L*(1+1/2*TAN(RADIANS(60)))</f>
        <v>5.5980762113533151</v>
      </c>
      <c r="BG69" s="228">
        <f>x0-L</f>
        <v>-3</v>
      </c>
      <c r="BH69" s="228">
        <f>y0+L*(1+1/2*TAN(RADIANS(60)))</f>
        <v>5.5980762113533151</v>
      </c>
      <c r="BI69" s="228">
        <f>x0-2*L</f>
        <v>-6</v>
      </c>
      <c r="BJ69" s="228">
        <f>y0+L*(1+1/2*TAN(RADIANS(60)))</f>
        <v>5.5980762113533151</v>
      </c>
    </row>
    <row r="70" spans="1:62" x14ac:dyDescent="0.2">
      <c r="A70" s="337">
        <v>22</v>
      </c>
      <c r="B70" s="127">
        <f ca="1">IF(ISNUMBER(G70), G70, INDIRECT(VLOOKUP(np,npTable[],2) &amp;"[Column1]"))</f>
        <v>0</v>
      </c>
      <c r="C70" s="127">
        <f ca="1">INDIRECT(VLOOKUP(np,npTable[],2) &amp;"[Column2]")</f>
        <v>0</v>
      </c>
      <c r="D70" s="130">
        <f t="shared" si="0"/>
        <v>0</v>
      </c>
      <c r="E70" s="69"/>
      <c r="F70" s="19"/>
      <c r="G70" s="139"/>
      <c r="H70" s="134"/>
      <c r="I70" s="134"/>
      <c r="J70"/>
      <c r="K70" s="352"/>
      <c r="M70" s="299">
        <v>23</v>
      </c>
      <c r="N70" s="296" t="s">
        <v>254</v>
      </c>
      <c r="O70" s="300"/>
      <c r="P70" s="300"/>
      <c r="Q70" s="300"/>
      <c r="R70" s="300"/>
      <c r="S70" s="300"/>
      <c r="T70" s="300"/>
      <c r="U70" s="300"/>
      <c r="V70" s="300"/>
      <c r="W70" s="300"/>
      <c r="X70" s="300"/>
      <c r="Y70" s="234"/>
      <c r="Z70" s="234"/>
      <c r="AA70" s="228"/>
      <c r="AB70" s="228"/>
      <c r="AC70" s="234"/>
      <c r="AD70" s="234"/>
      <c r="AE70" s="228"/>
      <c r="AF70" s="228"/>
      <c r="AG70" s="234"/>
      <c r="AH70" s="234"/>
      <c r="AI70" s="234"/>
      <c r="AJ70" s="234"/>
      <c r="AK70" s="234"/>
      <c r="AL70" s="234"/>
      <c r="AM70" s="234"/>
      <c r="AN70" s="234"/>
      <c r="AO70" s="234"/>
      <c r="AP70" s="234"/>
      <c r="AQ70" s="234"/>
      <c r="AR70" s="234"/>
      <c r="AS70" s="234"/>
      <c r="AT70" s="234"/>
      <c r="AU70" s="234"/>
      <c r="AV70" s="234"/>
      <c r="AW70" s="234"/>
      <c r="AX70" s="234"/>
      <c r="AY70" s="234"/>
      <c r="AZ70" s="234"/>
      <c r="BA70" s="234"/>
      <c r="BB70" s="234"/>
      <c r="BC70" s="228">
        <f>x0+3/2*L</f>
        <v>4.5</v>
      </c>
      <c r="BD70" s="228">
        <f>y0+L*TAN(RADIANS(60))</f>
        <v>5.1961524227066302</v>
      </c>
      <c r="BE70" s="228">
        <f>x0+1/2*L</f>
        <v>1.5</v>
      </c>
      <c r="BF70" s="234">
        <f>y0+L*(1+1/2*TAN(RADIANS(60)))</f>
        <v>5.5980762113533151</v>
      </c>
      <c r="BG70" s="228">
        <f>x0</f>
        <v>0</v>
      </c>
      <c r="BH70" s="228">
        <f>y0+L*(1+1/2*TAN(RADIANS(60)))</f>
        <v>5.5980762113533151</v>
      </c>
      <c r="BI70" s="228">
        <f>x0-L</f>
        <v>-3</v>
      </c>
      <c r="BJ70" s="228">
        <f>y0+L*(1+1/2*TAN(RADIANS(60)))</f>
        <v>5.5980762113533151</v>
      </c>
    </row>
    <row r="71" spans="1:62" ht="12.75" customHeight="1" x14ac:dyDescent="0.2">
      <c r="A71" s="337">
        <v>23</v>
      </c>
      <c r="B71" s="127">
        <f ca="1">IF(ISNUMBER(G71), G71, INDIRECT(VLOOKUP(np,npTable[],2) &amp;"[Column1]"))</f>
        <v>0</v>
      </c>
      <c r="C71" s="127">
        <f ca="1">INDIRECT(VLOOKUP(np,npTable[],2) &amp;"[Column2]")</f>
        <v>0</v>
      </c>
      <c r="D71" s="130">
        <f t="shared" si="0"/>
        <v>0</v>
      </c>
      <c r="E71" s="69"/>
      <c r="F71" s="19"/>
      <c r="G71" s="139"/>
      <c r="H71" s="134"/>
      <c r="I71" s="134"/>
      <c r="J71"/>
      <c r="K71" s="352"/>
      <c r="M71" s="299">
        <v>24</v>
      </c>
      <c r="N71" s="296" t="s">
        <v>255</v>
      </c>
      <c r="O71" s="300"/>
      <c r="P71" s="300"/>
      <c r="Q71" s="300"/>
      <c r="R71" s="300"/>
      <c r="S71" s="300"/>
      <c r="T71" s="300"/>
      <c r="U71" s="300"/>
      <c r="V71" s="300"/>
      <c r="W71" s="300"/>
      <c r="X71" s="300"/>
      <c r="Y71" s="234"/>
      <c r="Z71" s="234"/>
      <c r="AA71" s="228"/>
      <c r="AB71" s="228"/>
      <c r="AC71" s="234"/>
      <c r="AD71" s="234"/>
      <c r="AE71" s="228"/>
      <c r="AF71" s="228"/>
      <c r="AG71" s="234"/>
      <c r="AH71" s="234"/>
      <c r="AI71" s="234"/>
      <c r="AJ71" s="234"/>
      <c r="AK71" s="234"/>
      <c r="AL71" s="234"/>
      <c r="AM71" s="234"/>
      <c r="AN71" s="234"/>
      <c r="AO71" s="234"/>
      <c r="AP71" s="234"/>
      <c r="AQ71" s="234"/>
      <c r="AR71" s="234"/>
      <c r="AS71" s="234"/>
      <c r="AT71" s="234"/>
      <c r="AU71" s="234"/>
      <c r="AV71" s="234"/>
      <c r="AW71" s="234"/>
      <c r="AX71" s="234"/>
      <c r="AY71" s="234"/>
      <c r="AZ71" s="234"/>
      <c r="BA71" s="234"/>
      <c r="BB71" s="234"/>
      <c r="BC71" s="228"/>
      <c r="BD71" s="228"/>
      <c r="BE71" s="228">
        <f>x0+3/2*L</f>
        <v>4.5</v>
      </c>
      <c r="BF71" s="234">
        <f>y0+L*(1+1/2*TAN(RADIANS(60)))</f>
        <v>5.5980762113533151</v>
      </c>
      <c r="BG71" s="228">
        <f>x0+L</f>
        <v>3</v>
      </c>
      <c r="BH71" s="228">
        <f>y0+L*(1+1/2*TAN(RADIANS(60)))</f>
        <v>5.5980762113533151</v>
      </c>
      <c r="BI71" s="228">
        <f>x0</f>
        <v>0</v>
      </c>
      <c r="BJ71" s="228">
        <f>y0+L*(1+1/2*TAN(RADIANS(60)))</f>
        <v>5.5980762113533151</v>
      </c>
    </row>
    <row r="72" spans="1:62" x14ac:dyDescent="0.2">
      <c r="A72" s="337">
        <v>24</v>
      </c>
      <c r="B72" s="127">
        <f ca="1">IF(ISNUMBER(G72), G72, INDIRECT(VLOOKUP(np,npTable[],2) &amp;"[Column1]"))</f>
        <v>0</v>
      </c>
      <c r="C72" s="127">
        <f ca="1">INDIRECT(VLOOKUP(np,npTable[],2) &amp;"[Column2]")</f>
        <v>0</v>
      </c>
      <c r="D72" s="130">
        <f t="shared" si="0"/>
        <v>0</v>
      </c>
      <c r="E72" s="69"/>
      <c r="F72" s="19"/>
      <c r="G72" s="139"/>
      <c r="H72" s="134"/>
      <c r="I72" s="134"/>
      <c r="J72"/>
      <c r="K72" s="352"/>
      <c r="M72" s="299">
        <v>25</v>
      </c>
      <c r="N72" s="296" t="s">
        <v>259</v>
      </c>
      <c r="O72" s="300"/>
      <c r="P72" s="300"/>
      <c r="Q72" s="300"/>
      <c r="R72" s="300"/>
      <c r="S72" s="300"/>
      <c r="T72" s="300"/>
      <c r="U72" s="300"/>
      <c r="V72" s="300"/>
      <c r="W72" s="300"/>
      <c r="X72" s="300"/>
      <c r="Y72" s="234"/>
      <c r="Z72" s="234"/>
      <c r="AA72" s="228"/>
      <c r="AB72" s="228"/>
      <c r="AC72" s="234"/>
      <c r="AD72" s="234"/>
      <c r="AE72" s="228"/>
      <c r="AF72" s="228"/>
      <c r="AG72" s="234"/>
      <c r="AH72" s="234"/>
      <c r="AI72" s="234"/>
      <c r="AJ72" s="234"/>
      <c r="AK72" s="234"/>
      <c r="AL72" s="234"/>
      <c r="AM72" s="234"/>
      <c r="AN72" s="234"/>
      <c r="AO72" s="234"/>
      <c r="AP72" s="234"/>
      <c r="AQ72" s="234"/>
      <c r="AR72" s="234"/>
      <c r="AS72" s="234"/>
      <c r="AT72" s="234"/>
      <c r="AU72" s="234"/>
      <c r="AV72" s="234"/>
      <c r="AW72" s="234"/>
      <c r="AX72" s="234"/>
      <c r="AY72" s="234"/>
      <c r="AZ72" s="234"/>
      <c r="BA72" s="234"/>
      <c r="BB72" s="234"/>
      <c r="BC72" s="228"/>
      <c r="BD72" s="228"/>
      <c r="BE72" s="234"/>
      <c r="BF72" s="234"/>
      <c r="BG72" s="228">
        <f>x0+2*L</f>
        <v>6</v>
      </c>
      <c r="BH72" s="228">
        <f>y0+L*(1+1/2*TAN(RADIANS(60)))</f>
        <v>5.5980762113533151</v>
      </c>
      <c r="BI72" s="228">
        <f>x0+L</f>
        <v>3</v>
      </c>
      <c r="BJ72" s="228">
        <f>y0+L*(1+1/2*TAN(RADIANS(60)))</f>
        <v>5.5980762113533151</v>
      </c>
    </row>
    <row r="73" spans="1:62" x14ac:dyDescent="0.2">
      <c r="A73" s="337">
        <v>25</v>
      </c>
      <c r="B73" s="127">
        <f ca="1">IF(ISNUMBER(G73), G73, INDIRECT(VLOOKUP(np,npTable[],2) &amp;"[Column1]"))</f>
        <v>0</v>
      </c>
      <c r="C73" s="244">
        <f ca="1">INDIRECT(VLOOKUP(np,npTable[],2) &amp;"[Column2]")</f>
        <v>0</v>
      </c>
      <c r="D73" s="130">
        <f t="shared" si="0"/>
        <v>0</v>
      </c>
      <c r="E73" s="69"/>
      <c r="F73" s="19"/>
      <c r="G73" s="140"/>
      <c r="H73" s="135"/>
      <c r="I73" s="135"/>
      <c r="J73"/>
      <c r="K73" s="352"/>
      <c r="M73" s="276"/>
      <c r="N73" s="276"/>
      <c r="O73" s="300"/>
      <c r="P73" s="300"/>
      <c r="Q73" s="300"/>
      <c r="R73" s="300"/>
      <c r="S73" s="300"/>
      <c r="T73" s="300"/>
      <c r="U73" s="300"/>
      <c r="V73" s="300"/>
      <c r="W73" s="300"/>
      <c r="X73" s="300"/>
      <c r="Y73" s="234"/>
      <c r="Z73" s="234"/>
      <c r="AA73" s="228"/>
      <c r="AB73" s="228"/>
      <c r="AC73" s="234"/>
      <c r="AD73" s="234"/>
      <c r="AE73" s="228"/>
      <c r="AF73" s="228"/>
      <c r="AG73" s="234"/>
      <c r="AH73" s="234"/>
      <c r="AI73" s="234"/>
      <c r="AJ73" s="234"/>
      <c r="AK73" s="234"/>
      <c r="AL73" s="234"/>
      <c r="AM73" s="234"/>
      <c r="AN73" s="234"/>
      <c r="AO73" s="234"/>
      <c r="AP73" s="234"/>
      <c r="AQ73" s="234"/>
      <c r="AR73" s="234"/>
      <c r="AS73" s="234"/>
      <c r="AT73" s="234"/>
      <c r="AU73" s="234"/>
      <c r="AV73" s="234"/>
      <c r="AW73" s="234"/>
      <c r="AX73" s="234"/>
      <c r="AY73" s="234"/>
      <c r="AZ73" s="234"/>
      <c r="BA73" s="234"/>
      <c r="BB73" s="234"/>
      <c r="BC73" s="228"/>
      <c r="BD73" s="228"/>
      <c r="BE73" s="234"/>
      <c r="BF73" s="234"/>
      <c r="BG73" s="228"/>
      <c r="BH73" s="228"/>
      <c r="BI73" s="228">
        <f>x0+2*L</f>
        <v>6</v>
      </c>
      <c r="BJ73" s="228">
        <f>y0+L*(1+1/2*TAN(RADIANS(60)))</f>
        <v>5.5980762113533151</v>
      </c>
    </row>
    <row r="74" spans="1:62" ht="14.25" x14ac:dyDescent="0.2">
      <c r="A74" s="337"/>
      <c r="B74" s="27"/>
      <c r="C74" s="245" t="s">
        <v>179</v>
      </c>
      <c r="D74" s="246">
        <f>MAX(D49:D60)</f>
        <v>100</v>
      </c>
      <c r="E74" s="69"/>
      <c r="F74" s="69"/>
      <c r="G74" s="69"/>
      <c r="H74" s="69"/>
      <c r="I74" s="80"/>
      <c r="J74" s="69"/>
      <c r="K74" s="80"/>
      <c r="AM74" s="169"/>
      <c r="AN74" s="169"/>
      <c r="AO74" s="5"/>
      <c r="AP74" s="5"/>
      <c r="AQ74" s="5"/>
      <c r="AR74" s="5"/>
      <c r="AS74" s="5"/>
      <c r="AT74" s="5"/>
      <c r="AU74" s="5"/>
      <c r="AV74" s="5"/>
      <c r="AW74" s="5"/>
    </row>
    <row r="75" spans="1:62" ht="14.25" x14ac:dyDescent="0.2">
      <c r="A75" s="337"/>
      <c r="B75" s="26"/>
      <c r="C75" s="311" t="s">
        <v>113</v>
      </c>
      <c r="D75" s="312">
        <f t="array" ref="D75">SUM(IF(A49:A73&lt;=$F$45,D49:D73))</f>
        <v>1200</v>
      </c>
      <c r="E75" s="69"/>
      <c r="F75" s="69"/>
      <c r="G75" s="69"/>
      <c r="H75" s="69"/>
      <c r="I75" s="80"/>
      <c r="J75" s="69"/>
      <c r="K75" s="80"/>
      <c r="AO75" s="5"/>
      <c r="AP75" s="5"/>
      <c r="AQ75" s="5"/>
      <c r="AR75" s="5"/>
      <c r="AS75" s="5"/>
      <c r="AT75" s="5"/>
      <c r="AU75" s="5"/>
      <c r="AV75" s="5"/>
      <c r="AW75" s="5"/>
    </row>
    <row r="76" spans="1:62" s="157" customFormat="1" ht="14.25" customHeight="1" x14ac:dyDescent="0.2">
      <c r="A76" s="445" t="s">
        <v>279</v>
      </c>
      <c r="B76" s="445"/>
      <c r="C76" s="445"/>
      <c r="D76" s="445"/>
      <c r="E76" s="445"/>
      <c r="F76" s="445"/>
      <c r="G76" s="445"/>
      <c r="H76" s="445"/>
      <c r="I76" s="445"/>
      <c r="J76"/>
      <c r="K76" s="352"/>
      <c r="L76" s="196"/>
      <c r="M76" s="294"/>
      <c r="N76" s="294"/>
      <c r="O76" s="294"/>
      <c r="P76" s="294"/>
      <c r="Q76" s="294"/>
      <c r="R76" s="294"/>
      <c r="S76" s="294"/>
      <c r="T76" s="294"/>
      <c r="U76" s="294"/>
      <c r="V76" s="294"/>
      <c r="W76" s="294"/>
      <c r="X76" s="294"/>
      <c r="Y76" s="213"/>
      <c r="Z76" s="213"/>
      <c r="AA76" s="213"/>
      <c r="AB76" s="213"/>
      <c r="AC76" s="213"/>
      <c r="AD76" s="213"/>
      <c r="AE76" s="169"/>
      <c r="AF76" s="169"/>
      <c r="AG76" s="169"/>
      <c r="AH76" s="169"/>
      <c r="AI76" s="169"/>
      <c r="AJ76" s="169"/>
      <c r="AK76" s="169"/>
      <c r="AL76" s="169"/>
      <c r="AM76"/>
      <c r="AN76"/>
    </row>
    <row r="77" spans="1:62" ht="12.75" customHeight="1" x14ac:dyDescent="0.2">
      <c r="A77" s="445"/>
      <c r="B77" s="445"/>
      <c r="C77" s="445"/>
      <c r="D77" s="445"/>
      <c r="E77" s="445"/>
      <c r="F77" s="445"/>
      <c r="G77" s="445"/>
      <c r="H77" s="445"/>
      <c r="I77" s="445"/>
      <c r="J77" s="69"/>
      <c r="K77" s="80"/>
      <c r="AO77" s="5"/>
      <c r="AP77" s="5"/>
      <c r="AQ77" s="5"/>
      <c r="AR77" s="5"/>
      <c r="AS77" s="5"/>
      <c r="AT77" s="5"/>
      <c r="AU77" s="5"/>
      <c r="AV77" s="5"/>
      <c r="AW77" s="5"/>
    </row>
    <row r="78" spans="1:62" ht="26.25" customHeight="1" x14ac:dyDescent="0.2">
      <c r="A78" s="445"/>
      <c r="B78" s="445"/>
      <c r="C78" s="445"/>
      <c r="D78" s="445"/>
      <c r="E78" s="445"/>
      <c r="F78" s="445"/>
      <c r="G78" s="445"/>
      <c r="H78" s="445"/>
      <c r="I78" s="445"/>
      <c r="J78" s="69"/>
      <c r="K78" s="80"/>
      <c r="AO78" s="5"/>
      <c r="AP78" s="5"/>
      <c r="AQ78" s="5"/>
      <c r="AR78" s="5"/>
      <c r="AS78" s="5"/>
      <c r="AT78" s="5"/>
      <c r="AU78" s="5"/>
      <c r="AV78" s="5"/>
      <c r="AW78" s="5"/>
    </row>
    <row r="79" spans="1:62" s="72" customFormat="1" x14ac:dyDescent="0.2">
      <c r="A79" s="338"/>
      <c r="B79" s="232"/>
      <c r="C79" s="232"/>
      <c r="D79" s="232"/>
      <c r="E79" s="232"/>
      <c r="F79" s="232"/>
      <c r="G79" s="232"/>
      <c r="H79" s="232"/>
      <c r="I79" s="233"/>
      <c r="J79" s="69"/>
      <c r="K79" s="80"/>
      <c r="L79" s="196"/>
      <c r="M79" s="294"/>
      <c r="N79" s="294"/>
      <c r="O79" s="294"/>
      <c r="P79" s="294"/>
      <c r="Q79" s="294"/>
      <c r="R79" s="294"/>
      <c r="S79" s="294"/>
      <c r="T79" s="294"/>
      <c r="U79" s="294"/>
      <c r="V79" s="294"/>
      <c r="W79" s="294"/>
      <c r="X79" s="294"/>
      <c r="Y79" s="208"/>
      <c r="Z79" s="208"/>
      <c r="AA79" s="208"/>
      <c r="AB79" s="208"/>
      <c r="AC79" s="208"/>
      <c r="AD79" s="208"/>
      <c r="AE79" s="70"/>
      <c r="AF79" s="70"/>
      <c r="AG79" s="70"/>
      <c r="AH79" s="70"/>
      <c r="AI79" s="70"/>
      <c r="AJ79" s="70"/>
      <c r="AK79" s="70"/>
      <c r="AL79" s="70"/>
      <c r="AM79" s="70"/>
      <c r="AN79" s="70"/>
    </row>
    <row r="80" spans="1:62" x14ac:dyDescent="0.2">
      <c r="A80" s="337"/>
      <c r="B80" s="26"/>
      <c r="C80" s="26"/>
      <c r="D80" s="26"/>
      <c r="E80" s="69"/>
      <c r="F80" s="69"/>
      <c r="G80" s="69"/>
      <c r="H80" s="69"/>
      <c r="I80" s="80"/>
      <c r="J80" s="69"/>
      <c r="K80" s="80"/>
      <c r="AO80" s="5"/>
      <c r="AP80" s="5"/>
      <c r="AQ80" s="5"/>
      <c r="AR80" s="5"/>
      <c r="AS80" s="5"/>
      <c r="AT80" s="5"/>
      <c r="AU80" s="5"/>
      <c r="AV80" s="5"/>
      <c r="AW80" s="5"/>
    </row>
    <row r="81" spans="1:49" ht="12.75" customHeight="1" x14ac:dyDescent="0.2">
      <c r="A81" s="337"/>
      <c r="B81" s="26"/>
      <c r="C81" s="26"/>
      <c r="D81" s="36"/>
      <c r="E81" s="36"/>
      <c r="F81" s="69"/>
      <c r="G81" s="69"/>
      <c r="H81" s="69"/>
      <c r="I81" s="80"/>
      <c r="J81" s="69"/>
      <c r="K81" s="80"/>
      <c r="AO81" s="5"/>
      <c r="AP81" s="5"/>
      <c r="AQ81" s="5"/>
      <c r="AR81" s="5"/>
      <c r="AS81" s="5"/>
      <c r="AT81" s="5"/>
      <c r="AU81" s="5"/>
      <c r="AV81" s="5"/>
      <c r="AW81" s="5"/>
    </row>
    <row r="82" spans="1:49" x14ac:dyDescent="0.2">
      <c r="A82" s="337"/>
      <c r="B82" s="26"/>
      <c r="C82" s="26"/>
      <c r="D82" s="36"/>
      <c r="E82" s="36"/>
      <c r="F82" s="69"/>
      <c r="G82" s="69"/>
      <c r="H82" s="69"/>
      <c r="I82" s="80"/>
      <c r="J82" s="69"/>
      <c r="K82" s="80"/>
      <c r="AO82" s="5"/>
      <c r="AP82" s="5"/>
      <c r="AQ82" s="5"/>
      <c r="AR82" s="5"/>
      <c r="AS82" s="5"/>
      <c r="AT82" s="5"/>
      <c r="AU82" s="5"/>
      <c r="AV82" s="5"/>
      <c r="AW82" s="5"/>
    </row>
    <row r="83" spans="1:49" x14ac:dyDescent="0.2">
      <c r="A83" s="337"/>
      <c r="B83" s="26"/>
      <c r="C83" s="26"/>
      <c r="D83" s="36"/>
      <c r="E83" s="36"/>
      <c r="F83" s="69"/>
      <c r="G83" s="69"/>
      <c r="H83" s="69"/>
      <c r="I83" s="80"/>
      <c r="J83" s="69"/>
      <c r="K83" s="80"/>
      <c r="AO83" s="5"/>
      <c r="AP83" s="5"/>
      <c r="AQ83" s="5"/>
      <c r="AR83" s="5"/>
      <c r="AS83" s="5"/>
      <c r="AT83" s="5"/>
      <c r="AU83" s="5"/>
      <c r="AV83" s="5"/>
      <c r="AW83" s="5"/>
    </row>
    <row r="84" spans="1:49" x14ac:dyDescent="0.2">
      <c r="A84" s="337"/>
      <c r="B84" s="26"/>
      <c r="C84" s="26"/>
      <c r="D84" s="26"/>
      <c r="E84" s="69"/>
      <c r="F84" s="69"/>
      <c r="G84" s="69"/>
      <c r="H84" s="69"/>
      <c r="I84" s="80"/>
      <c r="J84" s="69"/>
      <c r="K84" s="80"/>
      <c r="AO84" s="5"/>
      <c r="AP84" s="5"/>
      <c r="AQ84" s="5"/>
      <c r="AR84" s="5"/>
      <c r="AS84" s="5"/>
      <c r="AT84" s="5"/>
      <c r="AU84" s="5"/>
      <c r="AV84" s="5"/>
      <c r="AW84" s="5"/>
    </row>
    <row r="85" spans="1:49" x14ac:dyDescent="0.2">
      <c r="A85" s="337"/>
      <c r="B85" s="26"/>
      <c r="C85" s="26"/>
      <c r="D85" s="26"/>
      <c r="E85" s="69"/>
      <c r="F85" s="69"/>
      <c r="G85" s="69"/>
      <c r="H85" s="69"/>
      <c r="I85" s="80"/>
      <c r="J85" s="69"/>
      <c r="K85" s="80"/>
      <c r="AO85" s="5"/>
      <c r="AP85" s="5"/>
      <c r="AQ85" s="5"/>
      <c r="AR85" s="5"/>
      <c r="AS85" s="5"/>
      <c r="AT85" s="5"/>
      <c r="AU85" s="5"/>
      <c r="AV85" s="5"/>
      <c r="AW85" s="5"/>
    </row>
    <row r="86" spans="1:49" x14ac:dyDescent="0.2">
      <c r="A86" s="337"/>
      <c r="B86" s="26"/>
      <c r="C86" s="26"/>
      <c r="D86" s="26"/>
      <c r="E86" s="69"/>
      <c r="F86" s="69"/>
      <c r="G86" s="69"/>
      <c r="H86" s="69"/>
      <c r="I86" s="80"/>
      <c r="J86" s="69"/>
      <c r="K86" s="80"/>
      <c r="AO86" s="5"/>
      <c r="AP86" s="5"/>
      <c r="AQ86" s="5"/>
      <c r="AR86" s="5"/>
      <c r="AS86" s="5"/>
      <c r="AT86" s="5"/>
      <c r="AU86" s="5"/>
      <c r="AV86" s="5"/>
      <c r="AW86" s="5"/>
    </row>
    <row r="87" spans="1:49" x14ac:dyDescent="0.2">
      <c r="A87" s="337"/>
      <c r="B87" s="26"/>
      <c r="C87" s="26"/>
      <c r="D87" s="26"/>
      <c r="E87" s="69"/>
      <c r="F87" s="69"/>
      <c r="G87" s="69"/>
      <c r="H87" s="69"/>
      <c r="I87" s="80"/>
      <c r="J87" s="69"/>
      <c r="K87" s="80"/>
      <c r="AO87" s="5"/>
      <c r="AP87" s="5"/>
      <c r="AQ87" s="5"/>
      <c r="AR87" s="5"/>
      <c r="AS87" s="5"/>
      <c r="AT87" s="5"/>
      <c r="AU87" s="5"/>
      <c r="AV87" s="5"/>
      <c r="AW87" s="5"/>
    </row>
    <row r="88" spans="1:49" x14ac:dyDescent="0.2">
      <c r="A88" s="337"/>
      <c r="B88" s="26"/>
      <c r="C88" s="26"/>
      <c r="D88" s="26"/>
      <c r="E88" s="69"/>
      <c r="F88" s="69"/>
      <c r="G88" s="69"/>
      <c r="H88" s="69"/>
      <c r="I88" s="80"/>
      <c r="J88" s="69"/>
      <c r="K88" s="80"/>
      <c r="AO88" s="5"/>
      <c r="AP88" s="5"/>
      <c r="AQ88" s="5"/>
      <c r="AR88" s="5"/>
      <c r="AS88" s="5"/>
      <c r="AT88" s="5"/>
      <c r="AU88" s="5"/>
      <c r="AV88" s="5"/>
      <c r="AW88" s="5"/>
    </row>
    <row r="89" spans="1:49" x14ac:dyDescent="0.2">
      <c r="A89" s="337"/>
      <c r="B89" s="26"/>
      <c r="C89" s="26"/>
      <c r="D89" s="26"/>
      <c r="E89" s="69"/>
      <c r="F89" s="69"/>
      <c r="G89" s="69"/>
      <c r="H89" s="69"/>
      <c r="I89" s="80"/>
      <c r="J89" s="69"/>
      <c r="K89" s="80"/>
      <c r="AO89" s="5"/>
      <c r="AP89" s="5"/>
      <c r="AQ89" s="5"/>
      <c r="AR89" s="5"/>
      <c r="AS89" s="5"/>
      <c r="AT89" s="5"/>
      <c r="AU89" s="5"/>
      <c r="AV89" s="5"/>
      <c r="AW89" s="5"/>
    </row>
    <row r="90" spans="1:49" x14ac:dyDescent="0.2">
      <c r="A90" s="337"/>
      <c r="B90" s="26"/>
      <c r="C90" s="26"/>
      <c r="D90" s="26"/>
      <c r="E90" s="69"/>
      <c r="F90" s="69"/>
      <c r="G90" s="69"/>
      <c r="H90" s="69"/>
      <c r="I90" s="80"/>
      <c r="J90" s="69"/>
      <c r="K90" s="80"/>
      <c r="AO90" s="5"/>
      <c r="AP90" s="5"/>
      <c r="AQ90" s="5"/>
      <c r="AR90" s="5"/>
      <c r="AS90" s="5"/>
      <c r="AT90" s="5"/>
      <c r="AU90" s="5"/>
      <c r="AV90" s="5"/>
      <c r="AW90" s="5"/>
    </row>
    <row r="91" spans="1:49" x14ac:dyDescent="0.2">
      <c r="A91" s="337"/>
      <c r="B91" s="26"/>
      <c r="C91" s="26"/>
      <c r="D91" s="26"/>
      <c r="E91" s="69"/>
      <c r="F91" s="69"/>
      <c r="G91" s="69"/>
      <c r="H91" s="69"/>
      <c r="I91" s="80"/>
      <c r="J91" s="69"/>
      <c r="K91" s="80"/>
      <c r="AO91" s="5"/>
      <c r="AP91" s="5"/>
      <c r="AQ91" s="5"/>
      <c r="AR91" s="5"/>
      <c r="AS91" s="5"/>
      <c r="AT91" s="5"/>
      <c r="AU91" s="5"/>
      <c r="AV91" s="5"/>
      <c r="AW91" s="5"/>
    </row>
    <row r="92" spans="1:49" x14ac:dyDescent="0.2">
      <c r="A92" s="337"/>
      <c r="B92" s="26"/>
      <c r="C92" s="26"/>
      <c r="D92" s="26"/>
      <c r="E92" s="69"/>
      <c r="F92" s="69"/>
      <c r="G92" s="69"/>
      <c r="H92" s="69"/>
      <c r="I92" s="80"/>
      <c r="J92" s="69"/>
      <c r="K92" s="80"/>
      <c r="AO92" s="5"/>
      <c r="AP92" s="5"/>
      <c r="AQ92" s="5"/>
      <c r="AR92" s="5"/>
      <c r="AS92" s="5"/>
      <c r="AT92" s="5"/>
      <c r="AU92" s="5"/>
      <c r="AV92" s="5"/>
      <c r="AW92" s="5"/>
    </row>
    <row r="93" spans="1:49" x14ac:dyDescent="0.2">
      <c r="A93" s="331"/>
      <c r="B93" s="69"/>
      <c r="C93" s="69"/>
      <c r="D93" s="69"/>
      <c r="E93" s="69"/>
      <c r="F93" s="69"/>
      <c r="G93" s="69"/>
      <c r="H93" s="69"/>
      <c r="I93" s="80"/>
      <c r="J93" s="69"/>
      <c r="K93" s="80"/>
      <c r="AO93" s="5"/>
      <c r="AP93" s="5"/>
      <c r="AQ93" s="5"/>
      <c r="AR93" s="5"/>
      <c r="AS93" s="5"/>
      <c r="AT93" s="5"/>
      <c r="AU93" s="5"/>
      <c r="AV93" s="5"/>
      <c r="AW93" s="5"/>
    </row>
    <row r="94" spans="1:49" x14ac:dyDescent="0.2">
      <c r="A94" s="331"/>
      <c r="B94" s="69"/>
      <c r="C94" s="69"/>
      <c r="D94" s="69"/>
      <c r="E94" s="69"/>
      <c r="F94" s="69"/>
      <c r="G94" s="69"/>
      <c r="H94" s="69"/>
      <c r="I94" s="80"/>
      <c r="J94" s="69"/>
      <c r="K94" s="80"/>
      <c r="AO94" s="5"/>
      <c r="AP94" s="5"/>
      <c r="AQ94" s="5"/>
      <c r="AR94" s="5"/>
      <c r="AS94" s="5"/>
      <c r="AT94" s="5"/>
      <c r="AU94" s="5"/>
      <c r="AV94" s="5"/>
      <c r="AW94" s="5"/>
    </row>
    <row r="95" spans="1:49" x14ac:dyDescent="0.2">
      <c r="A95" s="331"/>
      <c r="B95" s="69"/>
      <c r="C95" s="69"/>
      <c r="D95" s="69"/>
      <c r="E95" s="69"/>
      <c r="F95" s="69"/>
      <c r="G95" s="69"/>
      <c r="H95" s="69"/>
      <c r="I95" s="80"/>
      <c r="J95" s="69"/>
      <c r="K95" s="80"/>
      <c r="AO95" s="5"/>
      <c r="AP95" s="5"/>
      <c r="AQ95" s="5"/>
      <c r="AR95" s="5"/>
      <c r="AS95" s="5"/>
      <c r="AT95" s="5"/>
      <c r="AU95" s="5"/>
      <c r="AV95" s="5"/>
      <c r="AW95" s="5"/>
    </row>
    <row r="96" spans="1:49" ht="13.5" thickBot="1" x14ac:dyDescent="0.25">
      <c r="A96" s="331"/>
      <c r="B96" s="69"/>
      <c r="C96" s="69"/>
      <c r="D96" s="69"/>
      <c r="E96" s="69"/>
      <c r="F96" s="69"/>
      <c r="G96" s="69"/>
      <c r="H96" s="69"/>
      <c r="I96" s="80"/>
      <c r="J96"/>
      <c r="K96" s="352"/>
      <c r="AM96" s="153"/>
      <c r="AN96" s="153"/>
      <c r="AO96" s="5"/>
      <c r="AP96" s="5"/>
      <c r="AQ96" s="5"/>
      <c r="AR96" s="5"/>
      <c r="AS96" s="5"/>
      <c r="AT96" s="5"/>
      <c r="AU96" s="5"/>
      <c r="AV96" s="5"/>
      <c r="AW96" s="5"/>
    </row>
    <row r="97" spans="1:49" x14ac:dyDescent="0.2">
      <c r="A97" s="331"/>
      <c r="B97" s="69"/>
      <c r="C97" s="69"/>
      <c r="D97" s="69"/>
      <c r="E97" s="69"/>
      <c r="F97" s="69"/>
      <c r="G97" s="69"/>
      <c r="H97" s="69"/>
      <c r="I97" s="80"/>
      <c r="J97"/>
      <c r="K97" s="352"/>
      <c r="AO97" s="5"/>
      <c r="AP97" s="5"/>
      <c r="AQ97" s="5"/>
      <c r="AR97" s="5"/>
      <c r="AS97" s="5"/>
      <c r="AT97" s="5"/>
      <c r="AU97" s="5"/>
      <c r="AV97" s="5"/>
      <c r="AW97" s="5"/>
    </row>
    <row r="98" spans="1:49" s="152" customFormat="1" ht="13.5" thickBot="1" x14ac:dyDescent="0.25">
      <c r="A98" s="328"/>
      <c r="B98" s="170"/>
      <c r="C98" s="170"/>
      <c r="D98" s="170"/>
      <c r="E98" s="170"/>
      <c r="F98" s="170"/>
      <c r="G98" s="170"/>
      <c r="H98" s="170"/>
      <c r="I98" s="171"/>
      <c r="J98" s="196"/>
      <c r="K98" s="351"/>
      <c r="L98" s="197"/>
      <c r="M98" s="294"/>
      <c r="N98" s="294"/>
      <c r="O98" s="294"/>
      <c r="P98" s="294"/>
      <c r="Q98" s="294"/>
      <c r="R98" s="294"/>
      <c r="S98" s="294"/>
      <c r="T98" s="294"/>
      <c r="U98" s="294"/>
      <c r="V98" s="294"/>
      <c r="W98" s="294"/>
      <c r="X98" s="294"/>
      <c r="Y98" s="214"/>
      <c r="Z98" s="214"/>
      <c r="AA98" s="214"/>
      <c r="AB98" s="214"/>
      <c r="AC98" s="214"/>
      <c r="AD98" s="214"/>
      <c r="AE98" s="153"/>
      <c r="AF98" s="153"/>
      <c r="AG98" s="153"/>
      <c r="AH98" s="153"/>
      <c r="AI98" s="153"/>
      <c r="AJ98" s="153"/>
      <c r="AK98" s="153"/>
      <c r="AL98" s="153"/>
      <c r="AM98"/>
      <c r="AN98"/>
    </row>
    <row r="99" spans="1:49" ht="18" x14ac:dyDescent="0.2">
      <c r="A99" s="326" t="s">
        <v>207</v>
      </c>
      <c r="B99" s="7"/>
      <c r="C99" s="7"/>
      <c r="D99" s="7"/>
      <c r="E99" s="8"/>
      <c r="F99" s="10"/>
      <c r="G99" s="8"/>
      <c r="H99" s="8"/>
      <c r="I99" s="172"/>
      <c r="J99"/>
      <c r="K99" s="352"/>
      <c r="AO99" s="5"/>
      <c r="AP99" s="5"/>
      <c r="AQ99" s="5"/>
      <c r="AR99" s="5"/>
      <c r="AS99" s="5"/>
      <c r="AT99" s="5"/>
      <c r="AU99" s="5"/>
      <c r="AV99" s="5"/>
      <c r="AW99" s="5"/>
    </row>
    <row r="100" spans="1:49" ht="15.75" x14ac:dyDescent="0.2">
      <c r="A100" s="327"/>
      <c r="B100" s="7"/>
      <c r="C100" s="7"/>
      <c r="D100" s="7"/>
      <c r="E100" s="8"/>
      <c r="F100" s="10"/>
      <c r="G100" s="8"/>
      <c r="H100" s="8"/>
      <c r="I100" s="172"/>
      <c r="J100" s="424" t="s">
        <v>258</v>
      </c>
      <c r="K100" s="425"/>
      <c r="AO100" s="5"/>
      <c r="AP100" s="5"/>
      <c r="AQ100" s="5"/>
      <c r="AR100" s="5"/>
      <c r="AS100" s="5"/>
      <c r="AT100" s="5"/>
      <c r="AU100" s="5"/>
      <c r="AV100" s="5"/>
      <c r="AW100" s="5"/>
    </row>
    <row r="101" spans="1:49" x14ac:dyDescent="0.2">
      <c r="A101" s="339" t="s">
        <v>55</v>
      </c>
      <c r="J101" s="426"/>
      <c r="K101" s="427"/>
      <c r="AO101" s="5"/>
      <c r="AP101" s="5"/>
      <c r="AQ101" s="5"/>
      <c r="AR101" s="5"/>
      <c r="AS101" s="5"/>
      <c r="AT101" s="5"/>
      <c r="AU101" s="5"/>
      <c r="AV101" s="5"/>
      <c r="AW101" s="5"/>
    </row>
    <row r="102" spans="1:49" ht="14.25" customHeight="1" x14ac:dyDescent="0.2">
      <c r="C102" s="472" t="s">
        <v>263</v>
      </c>
      <c r="D102" s="473"/>
      <c r="E102" s="262">
        <f>MIN(24+E29,36)</f>
        <v>32</v>
      </c>
      <c r="F102" s="255" t="s">
        <v>205</v>
      </c>
      <c r="G102" s="256">
        <f>E102/12</f>
        <v>2.6666666666666665</v>
      </c>
      <c r="H102" s="257" t="s">
        <v>23</v>
      </c>
      <c r="J102" s="426"/>
      <c r="K102" s="427"/>
      <c r="AO102" s="5"/>
      <c r="AP102" s="5"/>
      <c r="AQ102" s="5"/>
      <c r="AR102" s="5"/>
      <c r="AS102" s="5"/>
      <c r="AT102" s="5"/>
      <c r="AU102" s="5"/>
      <c r="AV102" s="5"/>
      <c r="AW102" s="5"/>
    </row>
    <row r="103" spans="1:49" ht="16.5" customHeight="1" x14ac:dyDescent="0.35">
      <c r="C103" s="258"/>
      <c r="D103" s="166" t="s">
        <v>264</v>
      </c>
      <c r="E103" s="309">
        <f>3</f>
        <v>3</v>
      </c>
      <c r="F103" s="259" t="s">
        <v>23</v>
      </c>
      <c r="G103" s="156" t="str">
        <f>IF(E103&gt;=E102/12,"OK","NG")</f>
        <v>OK</v>
      </c>
      <c r="H103" s="158"/>
      <c r="J103" s="428"/>
      <c r="K103" s="429"/>
      <c r="AM103" s="144"/>
      <c r="AN103" s="144"/>
      <c r="AO103" s="5"/>
      <c r="AP103" s="5"/>
      <c r="AQ103" s="5"/>
      <c r="AR103" s="5"/>
      <c r="AS103" s="5"/>
      <c r="AT103" s="5"/>
      <c r="AU103" s="5"/>
      <c r="AV103" s="5"/>
      <c r="AW103" s="5"/>
    </row>
    <row r="104" spans="1:49" ht="13.5" thickBot="1" x14ac:dyDescent="0.25">
      <c r="A104" s="340"/>
      <c r="B104" s="160"/>
      <c r="C104" s="160"/>
      <c r="D104" s="160"/>
      <c r="E104" s="160"/>
      <c r="F104" s="160"/>
      <c r="G104" s="161"/>
      <c r="H104" s="160"/>
      <c r="I104" s="163"/>
      <c r="J104"/>
      <c r="K104" s="352"/>
      <c r="AO104" s="5"/>
      <c r="AP104" s="5"/>
      <c r="AQ104" s="5"/>
      <c r="AR104" s="5"/>
      <c r="AS104" s="5"/>
      <c r="AT104" s="5"/>
      <c r="AU104" s="5"/>
      <c r="AV104" s="5"/>
      <c r="AW104" s="5"/>
    </row>
    <row r="105" spans="1:49" s="143" customFormat="1" ht="19.5" customHeight="1" thickTop="1" x14ac:dyDescent="0.35">
      <c r="A105" s="341"/>
      <c r="B105" s="142" t="s">
        <v>206</v>
      </c>
      <c r="C105" s="149"/>
      <c r="D105" s="150"/>
      <c r="F105" s="150"/>
      <c r="G105" s="150"/>
      <c r="H105" s="150"/>
      <c r="I105" s="173"/>
      <c r="J105"/>
      <c r="K105" s="352"/>
      <c r="L105" s="198"/>
      <c r="M105" s="301"/>
      <c r="N105" s="301"/>
      <c r="O105" s="301"/>
      <c r="P105" s="301"/>
      <c r="Q105" s="301"/>
      <c r="R105" s="301"/>
      <c r="S105" s="301"/>
      <c r="T105" s="301"/>
      <c r="U105" s="301"/>
      <c r="V105" s="301"/>
      <c r="W105" s="301"/>
      <c r="X105" s="301"/>
      <c r="Y105" s="215"/>
      <c r="Z105" s="215"/>
      <c r="AA105" s="215"/>
      <c r="AB105" s="215"/>
      <c r="AC105" s="215"/>
      <c r="AD105" s="215"/>
      <c r="AE105" s="144"/>
      <c r="AF105" s="144"/>
      <c r="AG105" s="144"/>
      <c r="AH105" s="144"/>
      <c r="AI105" s="144"/>
      <c r="AJ105" s="144"/>
      <c r="AK105" s="144"/>
      <c r="AL105" s="144"/>
      <c r="AM105"/>
      <c r="AN105"/>
    </row>
    <row r="106" spans="1:49" x14ac:dyDescent="0.2">
      <c r="A106" s="342"/>
      <c r="B106" s="4" t="s">
        <v>54</v>
      </c>
      <c r="J106"/>
      <c r="K106" s="352"/>
      <c r="AO106" s="5"/>
      <c r="AP106" s="5"/>
      <c r="AQ106" s="5"/>
      <c r="AR106" s="5"/>
      <c r="AS106" s="5"/>
      <c r="AT106" s="5"/>
      <c r="AU106" s="5"/>
      <c r="AV106" s="5"/>
      <c r="AW106" s="5"/>
    </row>
    <row r="107" spans="1:49" x14ac:dyDescent="0.2">
      <c r="A107" s="343"/>
      <c r="J107"/>
      <c r="K107" s="352"/>
      <c r="AO107" s="5"/>
      <c r="AP107" s="5"/>
      <c r="AQ107" s="5"/>
      <c r="AR107" s="5"/>
      <c r="AS107" s="5"/>
      <c r="AT107" s="5"/>
      <c r="AU107" s="5"/>
      <c r="AV107" s="5"/>
      <c r="AW107" s="5"/>
    </row>
    <row r="108" spans="1:49" x14ac:dyDescent="0.2">
      <c r="A108" s="343"/>
      <c r="J108"/>
      <c r="K108" s="352"/>
      <c r="AO108" s="5"/>
      <c r="AP108" s="5"/>
      <c r="AQ108" s="5"/>
      <c r="AR108" s="5"/>
      <c r="AS108" s="5"/>
      <c r="AT108" s="5"/>
      <c r="AU108" s="5"/>
      <c r="AV108" s="5"/>
      <c r="AW108" s="5"/>
    </row>
    <row r="109" spans="1:49" x14ac:dyDescent="0.2">
      <c r="A109" s="343"/>
      <c r="J109"/>
      <c r="K109" s="352"/>
      <c r="AO109" s="5"/>
      <c r="AP109" s="5"/>
      <c r="AQ109" s="5"/>
      <c r="AR109" s="5"/>
      <c r="AS109" s="5"/>
      <c r="AT109" s="5"/>
      <c r="AU109" s="5"/>
      <c r="AV109" s="5"/>
      <c r="AW109" s="5"/>
    </row>
    <row r="110" spans="1:49" x14ac:dyDescent="0.2">
      <c r="A110" s="343"/>
      <c r="J110"/>
      <c r="K110" s="352"/>
      <c r="AO110" s="5"/>
      <c r="AP110" s="5"/>
      <c r="AQ110" s="5"/>
      <c r="AR110" s="5"/>
      <c r="AS110" s="5"/>
      <c r="AT110" s="5"/>
      <c r="AU110" s="5"/>
      <c r="AV110" s="5"/>
      <c r="AW110" s="5"/>
    </row>
    <row r="111" spans="1:49" x14ac:dyDescent="0.2">
      <c r="A111" s="343"/>
      <c r="J111"/>
      <c r="K111" s="352"/>
      <c r="AO111" s="5"/>
      <c r="AP111" s="5"/>
      <c r="AQ111" s="5"/>
      <c r="AR111" s="5"/>
      <c r="AS111" s="5"/>
      <c r="AT111" s="5"/>
      <c r="AU111" s="5"/>
      <c r="AV111" s="5"/>
      <c r="AW111" s="5"/>
    </row>
    <row r="112" spans="1:49" x14ac:dyDescent="0.2">
      <c r="A112" s="343"/>
      <c r="J112"/>
      <c r="K112" s="352"/>
      <c r="AO112" s="5"/>
      <c r="AP112" s="5"/>
      <c r="AQ112" s="5"/>
      <c r="AR112" s="5"/>
      <c r="AS112" s="5"/>
      <c r="AT112" s="5"/>
      <c r="AU112" s="5"/>
      <c r="AV112" s="5"/>
      <c r="AW112" s="5"/>
    </row>
    <row r="113" spans="1:49" x14ac:dyDescent="0.2">
      <c r="A113" s="343"/>
      <c r="J113"/>
      <c r="K113" s="352"/>
      <c r="AO113" s="5"/>
      <c r="AP113" s="5"/>
      <c r="AQ113" s="5"/>
      <c r="AR113" s="5"/>
      <c r="AS113" s="5"/>
      <c r="AT113" s="5"/>
      <c r="AU113" s="5"/>
      <c r="AV113" s="5"/>
      <c r="AW113" s="5"/>
    </row>
    <row r="114" spans="1:49" x14ac:dyDescent="0.2">
      <c r="A114" s="343"/>
      <c r="J114"/>
      <c r="K114" s="352"/>
      <c r="AO114" s="5"/>
      <c r="AP114" s="5"/>
      <c r="AQ114" s="5"/>
      <c r="AR114" s="5"/>
      <c r="AS114" s="5"/>
      <c r="AT114" s="5"/>
      <c r="AU114" s="5"/>
      <c r="AV114" s="5"/>
      <c r="AW114" s="5"/>
    </row>
    <row r="115" spans="1:49" x14ac:dyDescent="0.2">
      <c r="A115" s="343"/>
      <c r="J115"/>
      <c r="K115" s="352"/>
      <c r="AO115" s="5"/>
      <c r="AP115" s="5"/>
      <c r="AQ115" s="5"/>
      <c r="AR115" s="5"/>
      <c r="AS115" s="5"/>
      <c r="AT115" s="5"/>
      <c r="AU115" s="5"/>
      <c r="AV115" s="5"/>
      <c r="AW115" s="5"/>
    </row>
    <row r="116" spans="1:49" x14ac:dyDescent="0.2">
      <c r="A116" s="343"/>
      <c r="J116"/>
      <c r="K116" s="352"/>
      <c r="AO116" s="5"/>
      <c r="AP116" s="5"/>
      <c r="AQ116" s="5"/>
      <c r="AR116" s="5"/>
      <c r="AS116" s="5"/>
      <c r="AT116" s="5"/>
      <c r="AU116" s="5"/>
      <c r="AV116" s="5"/>
      <c r="AW116" s="5"/>
    </row>
    <row r="117" spans="1:49" x14ac:dyDescent="0.2">
      <c r="A117" s="343"/>
      <c r="J117"/>
      <c r="K117" s="352"/>
      <c r="AO117" s="5"/>
      <c r="AP117" s="5"/>
      <c r="AQ117" s="5"/>
      <c r="AR117" s="5"/>
      <c r="AS117" s="5"/>
      <c r="AT117" s="5"/>
      <c r="AU117" s="5"/>
      <c r="AV117" s="5"/>
      <c r="AW117" s="5"/>
    </row>
    <row r="118" spans="1:49" x14ac:dyDescent="0.2">
      <c r="A118" s="343"/>
      <c r="J118"/>
      <c r="K118" s="352"/>
      <c r="AO118" s="5"/>
      <c r="AP118" s="5"/>
      <c r="AQ118" s="5"/>
      <c r="AR118" s="5"/>
      <c r="AS118" s="5"/>
      <c r="AT118" s="5"/>
      <c r="AU118" s="5"/>
      <c r="AV118" s="5"/>
      <c r="AW118" s="5"/>
    </row>
    <row r="119" spans="1:49" x14ac:dyDescent="0.2">
      <c r="A119" s="343"/>
      <c r="J119"/>
      <c r="K119" s="352"/>
      <c r="AO119" s="5"/>
      <c r="AP119" s="5"/>
      <c r="AQ119" s="5"/>
      <c r="AR119" s="5"/>
      <c r="AS119" s="5"/>
      <c r="AT119" s="5"/>
      <c r="AU119" s="5"/>
      <c r="AV119" s="5"/>
      <c r="AW119" s="5"/>
    </row>
    <row r="120" spans="1:49" x14ac:dyDescent="0.2">
      <c r="A120" s="343"/>
      <c r="J120"/>
      <c r="K120" s="352"/>
      <c r="AO120" s="5"/>
      <c r="AP120" s="5"/>
      <c r="AQ120" s="5"/>
      <c r="AR120" s="5"/>
      <c r="AS120" s="5"/>
      <c r="AT120" s="5"/>
      <c r="AU120" s="5"/>
      <c r="AV120" s="5"/>
      <c r="AW120" s="5"/>
    </row>
    <row r="121" spans="1:49" x14ac:dyDescent="0.2">
      <c r="A121" s="343"/>
      <c r="J121"/>
      <c r="K121" s="352"/>
      <c r="AO121" s="5"/>
      <c r="AP121" s="5"/>
      <c r="AQ121" s="5"/>
      <c r="AR121" s="5"/>
      <c r="AS121" s="5"/>
      <c r="AT121" s="5"/>
      <c r="AU121" s="5"/>
      <c r="AV121" s="5"/>
      <c r="AW121" s="5"/>
    </row>
    <row r="122" spans="1:49" ht="15.75" customHeight="1" x14ac:dyDescent="0.2">
      <c r="A122" s="343"/>
      <c r="J122"/>
      <c r="K122" s="352"/>
      <c r="AO122" s="5"/>
      <c r="AP122" s="5"/>
      <c r="AQ122" s="5"/>
      <c r="AR122" s="5"/>
      <c r="AS122" s="5"/>
      <c r="AT122" s="5"/>
      <c r="AU122" s="5"/>
      <c r="AV122" s="5"/>
      <c r="AW122" s="5"/>
    </row>
    <row r="123" spans="1:49" x14ac:dyDescent="0.2">
      <c r="A123" s="343"/>
      <c r="J123"/>
      <c r="K123" s="352"/>
      <c r="AO123" s="5"/>
      <c r="AP123" s="5"/>
      <c r="AQ123" s="5"/>
      <c r="AR123" s="5"/>
      <c r="AS123" s="5"/>
      <c r="AT123" s="5"/>
      <c r="AU123" s="5"/>
      <c r="AV123" s="5"/>
      <c r="AW123" s="5"/>
    </row>
    <row r="124" spans="1:49" x14ac:dyDescent="0.2">
      <c r="A124" s="343"/>
      <c r="J124"/>
      <c r="K124" s="352"/>
      <c r="AO124" s="5"/>
      <c r="AP124" s="5"/>
      <c r="AQ124" s="5"/>
      <c r="AR124" s="5"/>
      <c r="AS124" s="5"/>
      <c r="AT124" s="5"/>
      <c r="AU124" s="5"/>
      <c r="AV124" s="5"/>
      <c r="AW124" s="5"/>
    </row>
    <row r="125" spans="1:49" ht="13.5" thickBot="1" x14ac:dyDescent="0.25">
      <c r="A125" s="343"/>
      <c r="B125" s="160"/>
      <c r="C125" s="160"/>
      <c r="D125" s="160"/>
      <c r="E125" s="160"/>
      <c r="F125" s="160"/>
      <c r="G125" s="160"/>
      <c r="H125" s="160"/>
      <c r="I125" s="163"/>
      <c r="J125"/>
      <c r="K125" s="352"/>
      <c r="AO125" s="5"/>
      <c r="AP125" s="5"/>
      <c r="AQ125" s="5"/>
      <c r="AR125" s="5"/>
      <c r="AS125" s="5"/>
      <c r="AT125" s="5"/>
      <c r="AU125" s="5"/>
      <c r="AV125" s="5"/>
      <c r="AW125" s="5"/>
    </row>
    <row r="126" spans="1:49" ht="13.5" thickTop="1" x14ac:dyDescent="0.2">
      <c r="A126" s="343"/>
      <c r="J126"/>
      <c r="K126" s="352"/>
      <c r="AO126" s="5"/>
      <c r="AP126" s="5"/>
      <c r="AQ126" s="5"/>
      <c r="AR126" s="5"/>
      <c r="AS126" s="5"/>
      <c r="AT126" s="5"/>
      <c r="AU126" s="5"/>
      <c r="AV126" s="5"/>
      <c r="AW126" s="5"/>
    </row>
    <row r="127" spans="1:49" ht="15" x14ac:dyDescent="0.25">
      <c r="A127" s="342"/>
      <c r="B127" s="164" t="s">
        <v>211</v>
      </c>
      <c r="C127" s="5"/>
      <c r="D127" s="5"/>
      <c r="E127" s="5"/>
      <c r="J127"/>
      <c r="K127" s="352"/>
      <c r="AO127" s="5"/>
      <c r="AP127" s="5"/>
      <c r="AQ127" s="5"/>
      <c r="AR127" s="5"/>
      <c r="AS127" s="5"/>
      <c r="AT127" s="5"/>
      <c r="AU127" s="5"/>
      <c r="AV127" s="5"/>
      <c r="AW127" s="5"/>
    </row>
    <row r="128" spans="1:49" x14ac:dyDescent="0.2">
      <c r="A128" s="343"/>
      <c r="B128" s="5"/>
      <c r="C128" s="5"/>
      <c r="D128" s="5"/>
      <c r="E128" s="5"/>
      <c r="J128"/>
      <c r="K128" s="352"/>
      <c r="AO128" s="5"/>
      <c r="AP128" s="5"/>
      <c r="AQ128" s="5"/>
      <c r="AR128" s="5"/>
      <c r="AS128" s="5"/>
      <c r="AT128" s="5"/>
      <c r="AU128" s="5"/>
      <c r="AV128" s="5"/>
      <c r="AW128" s="5"/>
    </row>
    <row r="129" spans="1:49" x14ac:dyDescent="0.2">
      <c r="A129" s="343"/>
      <c r="B129" s="5"/>
      <c r="C129" s="5"/>
      <c r="D129" s="5"/>
      <c r="E129" s="5"/>
      <c r="J129"/>
      <c r="K129" s="352"/>
      <c r="AO129" s="5"/>
      <c r="AP129" s="5"/>
      <c r="AQ129" s="5"/>
      <c r="AR129" s="5"/>
      <c r="AS129" s="5"/>
      <c r="AT129" s="5"/>
      <c r="AU129" s="5"/>
      <c r="AV129" s="5"/>
      <c r="AW129" s="5"/>
    </row>
    <row r="130" spans="1:49" x14ac:dyDescent="0.2">
      <c r="A130" s="343"/>
      <c r="B130" s="5"/>
      <c r="C130" s="5"/>
      <c r="D130" s="5"/>
      <c r="E130" s="5"/>
      <c r="J130"/>
      <c r="K130" s="352"/>
      <c r="AO130" s="5"/>
      <c r="AP130" s="5"/>
      <c r="AQ130" s="5"/>
      <c r="AR130" s="5"/>
      <c r="AS130" s="5"/>
      <c r="AT130" s="5"/>
      <c r="AU130" s="5"/>
      <c r="AV130" s="5"/>
      <c r="AW130" s="5"/>
    </row>
    <row r="131" spans="1:49" x14ac:dyDescent="0.2">
      <c r="A131" s="343"/>
      <c r="B131" s="5"/>
      <c r="C131" s="5"/>
      <c r="D131" s="5"/>
      <c r="E131" s="5"/>
      <c r="J131"/>
      <c r="K131" s="352"/>
      <c r="AO131" s="5"/>
      <c r="AP131" s="5"/>
      <c r="AQ131" s="5"/>
      <c r="AR131" s="5"/>
      <c r="AS131" s="5"/>
      <c r="AT131" s="5"/>
      <c r="AU131" s="5"/>
      <c r="AV131" s="5"/>
      <c r="AW131" s="5"/>
    </row>
    <row r="132" spans="1:49" x14ac:dyDescent="0.2">
      <c r="A132" s="343"/>
      <c r="B132" s="5"/>
      <c r="C132" s="5"/>
      <c r="D132" s="5"/>
      <c r="E132" s="5"/>
      <c r="J132"/>
      <c r="K132" s="352"/>
      <c r="AO132" s="5"/>
      <c r="AP132" s="5"/>
      <c r="AQ132" s="5"/>
      <c r="AR132" s="5"/>
      <c r="AS132" s="5"/>
      <c r="AT132" s="5"/>
      <c r="AU132" s="5"/>
      <c r="AV132" s="5"/>
      <c r="AW132" s="5"/>
    </row>
    <row r="133" spans="1:49" x14ac:dyDescent="0.2">
      <c r="A133" s="343"/>
      <c r="B133" s="5"/>
      <c r="C133" s="5"/>
      <c r="D133" s="5"/>
      <c r="E133" s="5"/>
      <c r="J133"/>
      <c r="K133" s="352"/>
      <c r="AO133" s="5"/>
      <c r="AP133" s="5"/>
      <c r="AQ133" s="5"/>
      <c r="AR133" s="5"/>
      <c r="AS133" s="5"/>
      <c r="AT133" s="5"/>
      <c r="AU133" s="5"/>
      <c r="AV133" s="5"/>
      <c r="AW133" s="5"/>
    </row>
    <row r="134" spans="1:49" x14ac:dyDescent="0.2">
      <c r="A134" s="343"/>
      <c r="B134" s="5"/>
      <c r="C134" s="5"/>
      <c r="D134" s="5"/>
      <c r="E134" s="5"/>
      <c r="J134"/>
      <c r="K134" s="352"/>
      <c r="AO134" s="5"/>
      <c r="AP134" s="5"/>
      <c r="AQ134" s="5"/>
      <c r="AR134" s="5"/>
      <c r="AS134" s="5"/>
      <c r="AT134" s="5"/>
      <c r="AU134" s="5"/>
      <c r="AV134" s="5"/>
      <c r="AW134" s="5"/>
    </row>
    <row r="135" spans="1:49" x14ac:dyDescent="0.2">
      <c r="A135" s="343"/>
      <c r="B135" s="5"/>
      <c r="C135" s="5"/>
      <c r="D135" s="5"/>
      <c r="E135" s="5"/>
      <c r="J135"/>
      <c r="K135" s="352"/>
      <c r="AO135" s="5"/>
      <c r="AP135" s="5"/>
      <c r="AQ135" s="5"/>
      <c r="AR135" s="5"/>
      <c r="AS135" s="5"/>
      <c r="AT135" s="5"/>
      <c r="AU135" s="5"/>
      <c r="AV135" s="5"/>
      <c r="AW135" s="5"/>
    </row>
    <row r="136" spans="1:49" x14ac:dyDescent="0.2">
      <c r="A136" s="343"/>
      <c r="B136" s="5"/>
      <c r="C136" s="5"/>
      <c r="D136" s="5"/>
      <c r="E136" s="5"/>
      <c r="J136"/>
      <c r="K136" s="352"/>
      <c r="AO136" s="5"/>
      <c r="AP136" s="5"/>
      <c r="AQ136" s="5"/>
      <c r="AR136" s="5"/>
      <c r="AS136" s="5"/>
      <c r="AT136" s="5"/>
      <c r="AU136" s="5"/>
      <c r="AV136" s="5"/>
      <c r="AW136" s="5"/>
    </row>
    <row r="137" spans="1:49" x14ac:dyDescent="0.2">
      <c r="A137" s="343"/>
      <c r="B137" s="5"/>
      <c r="C137" s="5"/>
      <c r="D137" s="5"/>
      <c r="E137" s="5"/>
      <c r="J137"/>
      <c r="K137" s="352"/>
      <c r="AO137" s="5"/>
      <c r="AP137" s="5"/>
      <c r="AQ137" s="5"/>
      <c r="AR137" s="5"/>
      <c r="AS137" s="5"/>
      <c r="AT137" s="5"/>
      <c r="AU137" s="5"/>
      <c r="AV137" s="5"/>
      <c r="AW137" s="5"/>
    </row>
    <row r="138" spans="1:49" x14ac:dyDescent="0.2">
      <c r="A138" s="343"/>
      <c r="B138" s="5"/>
      <c r="C138" s="5"/>
      <c r="D138" s="5"/>
      <c r="E138" s="5"/>
      <c r="J138"/>
      <c r="K138" s="352"/>
      <c r="AO138" s="5"/>
      <c r="AP138" s="5"/>
      <c r="AQ138" s="5"/>
      <c r="AR138" s="5"/>
      <c r="AS138" s="5"/>
      <c r="AT138" s="5"/>
      <c r="AU138" s="5"/>
      <c r="AV138" s="5"/>
      <c r="AW138" s="5"/>
    </row>
    <row r="139" spans="1:49" x14ac:dyDescent="0.2">
      <c r="A139" s="343"/>
      <c r="B139" s="5"/>
      <c r="C139" s="5"/>
      <c r="D139" s="5"/>
      <c r="E139" s="5"/>
      <c r="J139"/>
      <c r="K139" s="352"/>
      <c r="AO139" s="5"/>
      <c r="AP139" s="5"/>
      <c r="AQ139" s="5"/>
      <c r="AR139" s="5"/>
      <c r="AS139" s="5"/>
      <c r="AT139" s="5"/>
      <c r="AU139" s="5"/>
      <c r="AV139" s="5"/>
      <c r="AW139" s="5"/>
    </row>
    <row r="140" spans="1:49" x14ac:dyDescent="0.2">
      <c r="A140" s="343"/>
      <c r="B140" s="5"/>
      <c r="C140" s="5"/>
      <c r="D140" s="5"/>
      <c r="E140" s="5"/>
      <c r="J140"/>
      <c r="K140" s="352"/>
      <c r="AO140" s="5"/>
      <c r="AP140" s="5"/>
      <c r="AQ140" s="5"/>
      <c r="AR140" s="5"/>
      <c r="AS140" s="5"/>
      <c r="AT140" s="5"/>
      <c r="AU140" s="5"/>
      <c r="AV140" s="5"/>
      <c r="AW140" s="5"/>
    </row>
    <row r="141" spans="1:49" x14ac:dyDescent="0.2">
      <c r="A141" s="343"/>
      <c r="B141" s="5"/>
      <c r="C141" s="5"/>
      <c r="D141" s="5"/>
      <c r="E141" s="5"/>
      <c r="J141"/>
      <c r="K141" s="352"/>
      <c r="AO141" s="5"/>
      <c r="AP141" s="5"/>
      <c r="AQ141" s="5"/>
      <c r="AR141" s="5"/>
      <c r="AS141" s="5"/>
      <c r="AT141" s="5"/>
      <c r="AU141" s="5"/>
      <c r="AV141" s="5"/>
      <c r="AW141" s="5"/>
    </row>
    <row r="142" spans="1:49" x14ac:dyDescent="0.2">
      <c r="A142" s="343"/>
      <c r="B142" s="5"/>
      <c r="C142" s="5"/>
      <c r="D142" s="5"/>
      <c r="E142" s="5"/>
      <c r="J142"/>
      <c r="K142" s="352"/>
      <c r="AO142" s="5"/>
      <c r="AP142" s="5"/>
      <c r="AQ142" s="5"/>
      <c r="AR142" s="5"/>
      <c r="AS142" s="5"/>
      <c r="AT142" s="5"/>
      <c r="AU142" s="5"/>
      <c r="AV142" s="5"/>
      <c r="AW142" s="5"/>
    </row>
    <row r="143" spans="1:49" x14ac:dyDescent="0.2">
      <c r="A143" s="343"/>
      <c r="B143" s="5"/>
      <c r="C143" s="5"/>
      <c r="D143" s="5"/>
      <c r="E143" s="5"/>
      <c r="J143"/>
      <c r="K143" s="352"/>
      <c r="AO143" s="5"/>
      <c r="AP143" s="5"/>
      <c r="AQ143" s="5"/>
      <c r="AR143" s="5"/>
      <c r="AS143" s="5"/>
      <c r="AT143" s="5"/>
      <c r="AU143" s="5"/>
      <c r="AV143" s="5"/>
      <c r="AW143" s="5"/>
    </row>
    <row r="144" spans="1:49" x14ac:dyDescent="0.2">
      <c r="A144" s="343"/>
      <c r="B144" s="5"/>
      <c r="C144" s="5"/>
      <c r="D144" s="5"/>
      <c r="E144" s="5"/>
      <c r="J144"/>
      <c r="K144" s="352"/>
      <c r="AO144" s="5"/>
      <c r="AP144" s="5"/>
      <c r="AQ144" s="5"/>
      <c r="AR144" s="5"/>
      <c r="AS144" s="5"/>
      <c r="AT144" s="5"/>
      <c r="AU144" s="5"/>
      <c r="AV144" s="5"/>
      <c r="AW144" s="5"/>
    </row>
    <row r="145" spans="1:49" x14ac:dyDescent="0.2">
      <c r="A145" s="343"/>
      <c r="B145" s="5"/>
      <c r="C145" s="5"/>
      <c r="D145" s="5"/>
      <c r="E145" s="5"/>
      <c r="J145"/>
      <c r="K145" s="352"/>
      <c r="AO145" s="5"/>
      <c r="AP145" s="5"/>
      <c r="AQ145" s="5"/>
      <c r="AR145" s="5"/>
      <c r="AS145" s="5"/>
      <c r="AT145" s="5"/>
      <c r="AU145" s="5"/>
      <c r="AV145" s="5"/>
      <c r="AW145" s="5"/>
    </row>
    <row r="146" spans="1:49" x14ac:dyDescent="0.2">
      <c r="B146" s="5"/>
      <c r="J146"/>
      <c r="K146" s="352"/>
      <c r="AM146" s="70"/>
      <c r="AN146" s="70"/>
      <c r="AO146" s="5"/>
      <c r="AP146" s="5"/>
      <c r="AQ146" s="5"/>
      <c r="AR146" s="5"/>
      <c r="AS146" s="5"/>
      <c r="AT146" s="5"/>
      <c r="AU146" s="5"/>
      <c r="AV146" s="5"/>
      <c r="AW146" s="5"/>
    </row>
    <row r="147" spans="1:49" ht="15.75" x14ac:dyDescent="0.3">
      <c r="D147" s="28" t="s">
        <v>114</v>
      </c>
      <c r="E147" s="29">
        <f ca="1">SUM('PILECAP WKST'!J5:J29)</f>
        <v>1600</v>
      </c>
      <c r="F147" s="4" t="s">
        <v>22</v>
      </c>
      <c r="G147" s="435" t="s">
        <v>213</v>
      </c>
      <c r="H147" s="435"/>
      <c r="I147" s="436"/>
      <c r="J147"/>
      <c r="K147" s="352"/>
      <c r="AO147" s="5"/>
      <c r="AP147" s="5"/>
      <c r="AQ147" s="5"/>
      <c r="AR147" s="5"/>
      <c r="AS147" s="5"/>
      <c r="AT147" s="5"/>
      <c r="AU147" s="5"/>
      <c r="AV147" s="5"/>
      <c r="AW147" s="5"/>
    </row>
    <row r="148" spans="1:49" s="72" customFormat="1" ht="14.25" x14ac:dyDescent="0.2">
      <c r="A148" s="325"/>
      <c r="B148" s="71"/>
      <c r="C148" s="71"/>
      <c r="D148" s="112"/>
      <c r="E148" s="29"/>
      <c r="F148" s="71"/>
      <c r="G148" s="435"/>
      <c r="H148" s="435"/>
      <c r="I148" s="436"/>
      <c r="J148"/>
      <c r="K148" s="352"/>
      <c r="L148" s="196"/>
      <c r="M148" s="294"/>
      <c r="N148" s="294"/>
      <c r="O148" s="294"/>
      <c r="P148" s="294"/>
      <c r="Q148" s="294"/>
      <c r="R148" s="294"/>
      <c r="S148" s="19"/>
      <c r="T148" s="294"/>
      <c r="U148" s="294"/>
      <c r="V148" s="294"/>
      <c r="W148" s="294"/>
      <c r="X148" s="294"/>
      <c r="Y148" s="208"/>
      <c r="Z148" s="208"/>
      <c r="AA148" s="208"/>
      <c r="AB148" s="208"/>
      <c r="AC148" s="208"/>
      <c r="AD148" s="208"/>
      <c r="AE148" s="70"/>
      <c r="AF148" s="70"/>
      <c r="AG148" s="70"/>
      <c r="AH148" s="70"/>
      <c r="AI148" s="70"/>
      <c r="AJ148" s="70"/>
      <c r="AK148" s="70"/>
      <c r="AL148" s="70"/>
      <c r="AM148"/>
      <c r="AN148"/>
    </row>
    <row r="149" spans="1:49" ht="15.75" x14ac:dyDescent="0.3">
      <c r="D149" s="28" t="s">
        <v>115</v>
      </c>
      <c r="E149" s="41">
        <f>4*SQRT(FC)</f>
        <v>219.08902300206645</v>
      </c>
      <c r="F149" s="5" t="s">
        <v>20</v>
      </c>
      <c r="G149" s="35" t="s">
        <v>120</v>
      </c>
      <c r="H149" s="71"/>
      <c r="J149" s="418" t="s">
        <v>99</v>
      </c>
      <c r="K149" s="419"/>
      <c r="AO149" s="5"/>
      <c r="AP149" s="5"/>
      <c r="AQ149" s="5"/>
      <c r="AR149" s="5"/>
      <c r="AS149" s="5"/>
      <c r="AT149" s="5"/>
      <c r="AU149" s="5"/>
      <c r="AV149" s="5"/>
      <c r="AW149" s="5"/>
    </row>
    <row r="150" spans="1:49" ht="15.75" x14ac:dyDescent="0.3">
      <c r="D150" s="28" t="s">
        <v>116</v>
      </c>
      <c r="E150" s="29">
        <f>4*(E30+E151)</f>
        <v>280</v>
      </c>
      <c r="F150" s="5" t="s">
        <v>21</v>
      </c>
      <c r="G150" s="35" t="s">
        <v>212</v>
      </c>
      <c r="H150" s="71"/>
      <c r="J150" s="276"/>
      <c r="K150" s="260"/>
      <c r="AO150" s="5"/>
      <c r="AP150" s="5"/>
      <c r="AQ150" s="5"/>
      <c r="AR150" s="5"/>
      <c r="AS150" s="5"/>
      <c r="AT150" s="5"/>
      <c r="AU150" s="5"/>
      <c r="AV150" s="5"/>
      <c r="AW150" s="5"/>
    </row>
    <row r="151" spans="1:49" ht="15.75" x14ac:dyDescent="0.3">
      <c r="A151" s="448" t="s">
        <v>106</v>
      </c>
      <c r="B151" s="448"/>
      <c r="C151" s="448"/>
      <c r="D151" s="448"/>
      <c r="E151" s="29">
        <f>E27-E31-1</f>
        <v>48</v>
      </c>
      <c r="F151" s="17" t="s">
        <v>21</v>
      </c>
      <c r="G151" s="35" t="s">
        <v>119</v>
      </c>
      <c r="H151" s="68"/>
      <c r="I151" s="77"/>
      <c r="J151" s="69"/>
      <c r="K151" s="355"/>
      <c r="AO151" s="5"/>
      <c r="AP151" s="5"/>
      <c r="AQ151" s="5"/>
      <c r="AR151" s="5"/>
      <c r="AS151" s="5"/>
      <c r="AT151" s="5"/>
      <c r="AU151" s="5"/>
      <c r="AV151" s="5"/>
      <c r="AW151" s="5"/>
    </row>
    <row r="152" spans="1:49" ht="15.75" x14ac:dyDescent="0.3">
      <c r="D152" s="28" t="s">
        <v>117</v>
      </c>
      <c r="E152" s="47">
        <f>0.85*E150*E149*E151/1000</f>
        <v>2502.8729987756069</v>
      </c>
      <c r="F152" s="5" t="s">
        <v>22</v>
      </c>
      <c r="G152" s="35" t="s">
        <v>118</v>
      </c>
      <c r="H152" s="71"/>
      <c r="J152" s="69"/>
      <c r="K152" s="80"/>
      <c r="AO152" s="5"/>
      <c r="AP152" s="5"/>
      <c r="AQ152" s="5"/>
      <c r="AR152" s="5"/>
      <c r="AS152" s="5"/>
      <c r="AT152" s="5"/>
      <c r="AU152" s="5"/>
      <c r="AV152" s="5"/>
      <c r="AW152" s="5"/>
    </row>
    <row r="153" spans="1:49" ht="14.25" customHeight="1" x14ac:dyDescent="0.2">
      <c r="G153" s="31" t="str">
        <f ca="1">IF(E147&lt;=E152,"OK","NG")</f>
        <v>OK</v>
      </c>
      <c r="H153" s="71"/>
      <c r="J153" s="69"/>
      <c r="K153" s="80"/>
      <c r="AO153" s="5"/>
      <c r="AP153" s="5"/>
      <c r="AQ153" s="5"/>
      <c r="AR153" s="5"/>
      <c r="AS153" s="5"/>
      <c r="AT153" s="5"/>
      <c r="AU153" s="5"/>
      <c r="AV153" s="5"/>
      <c r="AW153" s="5"/>
    </row>
    <row r="154" spans="1:49" ht="12.75" customHeight="1" x14ac:dyDescent="0.2">
      <c r="A154" s="344"/>
      <c r="B154" s="430" t="str">
        <f ca="1">IF('PILECAP WKST'!I30='PILECAP WKST'!J30, "All piles outside the punching shear perimeter, no additional checks needed, go to Shear-Section 2","There are piles within the punching shear perimeter, use deep corbel check procedure (detailed on CRSI 13-25).")</f>
        <v>There are piles within the punching shear perimeter, use deep corbel check procedure (detailed on CRSI 13-25).</v>
      </c>
      <c r="C154" s="430"/>
      <c r="D154" s="430"/>
      <c r="E154" s="430"/>
      <c r="F154" s="430"/>
      <c r="G154" s="430"/>
      <c r="H154" s="431"/>
      <c r="I154" s="159"/>
      <c r="J154" s="69"/>
      <c r="K154" s="80"/>
      <c r="AO154" s="5"/>
      <c r="AP154" s="5"/>
      <c r="AQ154" s="5"/>
      <c r="AR154" s="5"/>
      <c r="AS154" s="5"/>
      <c r="AT154" s="5"/>
      <c r="AU154" s="5"/>
      <c r="AV154" s="5"/>
      <c r="AW154" s="5"/>
    </row>
    <row r="155" spans="1:49" ht="14.25" customHeight="1" x14ac:dyDescent="0.2">
      <c r="A155" s="342"/>
      <c r="B155" s="432"/>
      <c r="C155" s="433"/>
      <c r="D155" s="433"/>
      <c r="E155" s="433"/>
      <c r="F155" s="433"/>
      <c r="G155" s="433"/>
      <c r="H155" s="434"/>
      <c r="I155" s="154"/>
      <c r="J155" s="392" t="s">
        <v>156</v>
      </c>
      <c r="K155" s="393"/>
      <c r="AO155" s="5"/>
      <c r="AP155" s="5"/>
      <c r="AQ155" s="5"/>
      <c r="AR155" s="5"/>
      <c r="AS155" s="5"/>
      <c r="AT155" s="5"/>
      <c r="AU155" s="5"/>
      <c r="AV155" s="5"/>
      <c r="AW155" s="5"/>
    </row>
    <row r="156" spans="1:49" x14ac:dyDescent="0.2">
      <c r="A156" s="342"/>
      <c r="B156" s="72" t="s">
        <v>209</v>
      </c>
      <c r="C156" s="72"/>
      <c r="D156" s="72"/>
      <c r="E156" s="72"/>
      <c r="F156" s="71"/>
      <c r="G156" s="71"/>
      <c r="H156" s="71"/>
      <c r="J156" s="394"/>
      <c r="K156" s="395"/>
      <c r="AO156" s="5"/>
      <c r="AP156" s="5"/>
      <c r="AQ156" s="5"/>
      <c r="AR156" s="5"/>
      <c r="AS156" s="5"/>
      <c r="AT156" s="5"/>
      <c r="AU156" s="5"/>
      <c r="AV156" s="5"/>
      <c r="AW156" s="5"/>
    </row>
    <row r="157" spans="1:49" x14ac:dyDescent="0.2">
      <c r="A157" s="342"/>
      <c r="B157" s="5"/>
      <c r="C157" s="5"/>
      <c r="D157" s="5"/>
      <c r="E157" s="5"/>
      <c r="J157" s="396"/>
      <c r="K157" s="397"/>
      <c r="AO157" s="5"/>
      <c r="AP157" s="5"/>
      <c r="AQ157" s="5"/>
      <c r="AR157" s="5"/>
      <c r="AS157" s="5"/>
      <c r="AT157" s="5"/>
      <c r="AU157" s="5"/>
      <c r="AV157" s="5"/>
      <c r="AW157" s="5"/>
    </row>
    <row r="158" spans="1:49" x14ac:dyDescent="0.2">
      <c r="A158" s="342"/>
      <c r="B158" s="5"/>
      <c r="C158" s="5"/>
      <c r="D158" s="5"/>
      <c r="E158" s="5"/>
      <c r="J158" s="36"/>
      <c r="K158" s="356"/>
      <c r="AO158" s="5"/>
      <c r="AP158" s="5"/>
      <c r="AQ158" s="5"/>
      <c r="AR158" s="5"/>
      <c r="AS158" s="5"/>
      <c r="AT158" s="5"/>
      <c r="AU158" s="5"/>
      <c r="AV158" s="5"/>
      <c r="AW158" s="5"/>
    </row>
    <row r="159" spans="1:49" x14ac:dyDescent="0.2">
      <c r="A159" s="342"/>
      <c r="B159" s="5"/>
      <c r="C159" s="5"/>
      <c r="D159" s="5"/>
      <c r="E159" s="5"/>
      <c r="J159" s="36"/>
      <c r="K159" s="356"/>
      <c r="AO159" s="5"/>
      <c r="AP159" s="5"/>
      <c r="AQ159" s="5"/>
      <c r="AR159" s="5"/>
      <c r="AS159" s="5"/>
      <c r="AT159" s="5"/>
      <c r="AU159" s="5"/>
      <c r="AV159" s="5"/>
      <c r="AW159" s="5"/>
    </row>
    <row r="160" spans="1:49" x14ac:dyDescent="0.2">
      <c r="A160" s="342"/>
      <c r="B160" s="5"/>
      <c r="C160" s="5"/>
      <c r="D160" s="5"/>
      <c r="E160" s="5"/>
      <c r="J160" s="276"/>
      <c r="K160" s="260"/>
      <c r="AO160" s="5"/>
      <c r="AP160" s="5"/>
      <c r="AQ160" s="5"/>
      <c r="AR160" s="5"/>
      <c r="AS160" s="5"/>
      <c r="AT160" s="5"/>
      <c r="AU160" s="5"/>
      <c r="AV160" s="5"/>
      <c r="AW160" s="5"/>
    </row>
    <row r="161" spans="1:49" x14ac:dyDescent="0.2">
      <c r="A161" s="342"/>
      <c r="B161" s="5"/>
      <c r="C161" s="5"/>
      <c r="D161" s="5"/>
      <c r="E161" s="5"/>
      <c r="J161"/>
      <c r="K161" s="352"/>
      <c r="AO161" s="5"/>
      <c r="AP161" s="5"/>
      <c r="AQ161" s="5"/>
      <c r="AR161" s="5"/>
      <c r="AS161" s="5"/>
      <c r="AT161" s="5"/>
      <c r="AU161" s="5"/>
      <c r="AV161" s="5"/>
      <c r="AW161" s="5"/>
    </row>
    <row r="162" spans="1:49" x14ac:dyDescent="0.2">
      <c r="A162" s="342"/>
      <c r="B162" s="5"/>
      <c r="C162" s="5"/>
      <c r="D162" s="5"/>
      <c r="E162" s="5"/>
      <c r="J162"/>
      <c r="K162" s="352"/>
      <c r="AO162" s="5"/>
      <c r="AP162" s="5"/>
      <c r="AQ162" s="5"/>
      <c r="AR162" s="5"/>
      <c r="AS162" s="5"/>
      <c r="AT162" s="5"/>
      <c r="AU162" s="5"/>
      <c r="AV162" s="5"/>
      <c r="AW162" s="5"/>
    </row>
    <row r="163" spans="1:49" x14ac:dyDescent="0.2">
      <c r="A163" s="342"/>
      <c r="B163" s="5"/>
      <c r="C163" s="5"/>
      <c r="D163" s="5"/>
      <c r="E163" s="5"/>
      <c r="J163"/>
      <c r="K163" s="352"/>
      <c r="AO163" s="5"/>
      <c r="AP163" s="5"/>
      <c r="AQ163" s="5"/>
      <c r="AR163" s="5"/>
      <c r="AS163" s="5"/>
      <c r="AT163" s="5"/>
      <c r="AU163" s="5"/>
      <c r="AV163" s="5"/>
      <c r="AW163" s="5"/>
    </row>
    <row r="164" spans="1:49" x14ac:dyDescent="0.2">
      <c r="A164" s="342"/>
      <c r="B164" s="5"/>
      <c r="C164" s="5"/>
      <c r="D164" s="5"/>
      <c r="E164" s="5"/>
      <c r="J164"/>
      <c r="K164" s="352"/>
      <c r="AO164" s="5"/>
      <c r="AP164" s="5"/>
      <c r="AQ164" s="5"/>
      <c r="AR164" s="5"/>
      <c r="AS164" s="5"/>
      <c r="AT164" s="5"/>
      <c r="AU164" s="5"/>
      <c r="AV164" s="5"/>
      <c r="AW164" s="5"/>
    </row>
    <row r="165" spans="1:49" x14ac:dyDescent="0.2">
      <c r="A165" s="342"/>
      <c r="B165" s="5"/>
      <c r="C165" s="5"/>
      <c r="D165" s="5"/>
      <c r="E165" s="5"/>
      <c r="J165"/>
      <c r="K165" s="352"/>
      <c r="AO165" s="5"/>
      <c r="AP165" s="5"/>
      <c r="AQ165" s="5"/>
      <c r="AR165" s="5"/>
      <c r="AS165" s="5"/>
      <c r="AT165" s="5"/>
      <c r="AU165" s="5"/>
      <c r="AV165" s="5"/>
      <c r="AW165" s="5"/>
    </row>
    <row r="166" spans="1:49" x14ac:dyDescent="0.2">
      <c r="A166" s="342"/>
      <c r="B166" s="5"/>
      <c r="C166" s="5"/>
      <c r="D166" s="5"/>
      <c r="E166" s="5"/>
      <c r="J166"/>
      <c r="K166" s="352"/>
      <c r="AO166" s="5"/>
      <c r="AP166" s="5"/>
      <c r="AQ166" s="5"/>
      <c r="AR166" s="5"/>
      <c r="AS166" s="5"/>
      <c r="AT166" s="5"/>
      <c r="AU166" s="5"/>
      <c r="AV166" s="5"/>
      <c r="AW166" s="5"/>
    </row>
    <row r="167" spans="1:49" x14ac:dyDescent="0.2">
      <c r="A167" s="342"/>
      <c r="B167" s="5"/>
      <c r="C167" s="5"/>
      <c r="D167" s="5"/>
      <c r="E167" s="5"/>
      <c r="J167"/>
      <c r="K167" s="352"/>
      <c r="AO167" s="5"/>
      <c r="AP167" s="5"/>
      <c r="AQ167" s="5"/>
      <c r="AR167" s="5"/>
      <c r="AS167" s="5"/>
      <c r="AT167" s="5"/>
      <c r="AU167" s="5"/>
      <c r="AV167" s="5"/>
      <c r="AW167" s="5"/>
    </row>
    <row r="168" spans="1:49" ht="14.25" x14ac:dyDescent="0.2">
      <c r="A168" s="342"/>
      <c r="B168" s="5"/>
      <c r="C168" s="32"/>
      <c r="D168" s="20" t="s">
        <v>214</v>
      </c>
      <c r="E168" s="29">
        <f t="array" aca="1" ref="E168" ca="1">MIN(IF('PILECAP WKST'!I5:I29&gt;0,'PILECAP WKST'!I5:I29))</f>
        <v>1.5</v>
      </c>
      <c r="F168" s="5" t="s">
        <v>23</v>
      </c>
      <c r="G168" s="5"/>
      <c r="I168" s="79"/>
      <c r="J168"/>
      <c r="K168" s="352"/>
      <c r="AO168" s="5"/>
      <c r="AP168" s="5"/>
      <c r="AQ168" s="5"/>
      <c r="AR168" s="5"/>
      <c r="AS168" s="5"/>
      <c r="AT168" s="5"/>
      <c r="AU168" s="5"/>
      <c r="AV168" s="5"/>
      <c r="AW168" s="5"/>
    </row>
    <row r="169" spans="1:49" ht="14.25" x14ac:dyDescent="0.2">
      <c r="A169" s="342"/>
      <c r="B169" s="5"/>
      <c r="C169" s="5"/>
      <c r="D169" s="20" t="s">
        <v>76</v>
      </c>
      <c r="E169" s="29">
        <f ca="1">E168*12-$E$30/2+pt+ct</f>
        <v>10</v>
      </c>
      <c r="F169" s="5" t="s">
        <v>21</v>
      </c>
      <c r="G169" s="5"/>
      <c r="I169" s="79"/>
      <c r="J169"/>
      <c r="K169" s="352"/>
      <c r="AO169" s="5"/>
      <c r="AP169" s="5"/>
      <c r="AQ169" s="5"/>
      <c r="AR169" s="5"/>
      <c r="AS169" s="5"/>
      <c r="AT169" s="5"/>
      <c r="AU169" s="5"/>
      <c r="AV169" s="5"/>
      <c r="AW169" s="5"/>
    </row>
    <row r="170" spans="1:49" ht="14.25" x14ac:dyDescent="0.2">
      <c r="A170" s="342"/>
      <c r="B170" s="5"/>
      <c r="C170" s="5"/>
      <c r="D170" s="20" t="s">
        <v>216</v>
      </c>
      <c r="E170" s="42">
        <f ca="1">E169/(E151/2)</f>
        <v>0.41666666666666669</v>
      </c>
      <c r="F170" s="5"/>
      <c r="G170" s="5"/>
      <c r="I170" s="79"/>
      <c r="J170"/>
      <c r="K170" s="352"/>
      <c r="AO170" s="5"/>
      <c r="AP170" s="5"/>
      <c r="AQ170" s="5"/>
      <c r="AR170" s="5"/>
      <c r="AS170" s="5"/>
      <c r="AT170" s="5"/>
      <c r="AU170" s="5"/>
      <c r="AV170" s="5"/>
      <c r="AW170" s="5"/>
    </row>
    <row r="171" spans="1:49" x14ac:dyDescent="0.2">
      <c r="B171" s="5"/>
      <c r="D171" s="20"/>
      <c r="E171" s="32"/>
      <c r="F171" s="5"/>
      <c r="G171" s="5"/>
      <c r="I171" s="79"/>
      <c r="J171"/>
      <c r="K171" s="352"/>
      <c r="AO171" s="5"/>
      <c r="AP171" s="5"/>
      <c r="AQ171" s="5"/>
      <c r="AR171" s="5"/>
      <c r="AS171" s="5"/>
      <c r="AT171" s="5"/>
      <c r="AU171" s="5"/>
      <c r="AV171" s="5"/>
      <c r="AW171" s="5"/>
    </row>
    <row r="172" spans="1:49" ht="12.75" customHeight="1" x14ac:dyDescent="0.2">
      <c r="A172" s="342"/>
      <c r="B172" s="5" t="s">
        <v>109</v>
      </c>
      <c r="C172" s="5"/>
      <c r="D172" s="20"/>
      <c r="E172" s="5"/>
      <c r="F172" s="5"/>
      <c r="G172" s="5"/>
      <c r="I172" s="79"/>
      <c r="J172"/>
      <c r="K172" s="352"/>
      <c r="AO172" s="5"/>
      <c r="AP172" s="5"/>
      <c r="AQ172" s="5"/>
      <c r="AR172" s="5"/>
      <c r="AS172" s="5"/>
      <c r="AT172" s="5"/>
      <c r="AU172" s="5"/>
      <c r="AV172" s="5"/>
      <c r="AW172" s="5"/>
    </row>
    <row r="173" spans="1:49" ht="15.75" x14ac:dyDescent="0.3">
      <c r="A173" s="342"/>
      <c r="B173" s="5"/>
      <c r="C173" s="32"/>
      <c r="D173" s="39" t="s">
        <v>114</v>
      </c>
      <c r="E173" s="29">
        <f t="array" aca="1" ref="E173" ca="1">SUM(IF('PILECAP WKST'!I5:I29&lt;&gt;0,D49:D73))*lf</f>
        <v>1920</v>
      </c>
      <c r="F173" s="5" t="s">
        <v>22</v>
      </c>
      <c r="G173" s="5"/>
      <c r="I173" s="79"/>
      <c r="J173"/>
      <c r="K173" s="352"/>
      <c r="AO173" s="5"/>
      <c r="AP173" s="5"/>
      <c r="AQ173" s="5"/>
      <c r="AR173" s="5"/>
      <c r="AS173" s="5"/>
      <c r="AT173" s="5"/>
      <c r="AU173" s="5"/>
      <c r="AV173" s="5"/>
      <c r="AW173" s="5"/>
    </row>
    <row r="174" spans="1:49" ht="15.75" x14ac:dyDescent="0.3">
      <c r="A174" s="342"/>
      <c r="B174" s="5"/>
      <c r="C174" s="5"/>
      <c r="D174" s="39" t="s">
        <v>121</v>
      </c>
      <c r="E174" s="29">
        <f>4*E30</f>
        <v>88</v>
      </c>
      <c r="F174" s="5" t="s">
        <v>21</v>
      </c>
      <c r="G174" s="35" t="s">
        <v>78</v>
      </c>
      <c r="I174" s="79"/>
      <c r="J174"/>
      <c r="K174" s="352"/>
      <c r="AO174" s="5"/>
      <c r="AP174" s="5"/>
      <c r="AQ174" s="5"/>
      <c r="AR174" s="5"/>
      <c r="AS174" s="5"/>
      <c r="AT174" s="5"/>
      <c r="AU174" s="5"/>
      <c r="AV174" s="5"/>
      <c r="AW174" s="5"/>
    </row>
    <row r="175" spans="1:49" ht="15.75" x14ac:dyDescent="0.3">
      <c r="A175" s="342"/>
      <c r="B175" s="5"/>
      <c r="C175" s="5"/>
      <c r="D175" s="39" t="s">
        <v>115</v>
      </c>
      <c r="E175" s="41">
        <f ca="1">E151/E169*(1+E151/E30)*2*SQRT(E36)</f>
        <v>1673.0434483794165</v>
      </c>
      <c r="F175" s="5" t="s">
        <v>20</v>
      </c>
      <c r="G175" s="35" t="s">
        <v>77</v>
      </c>
      <c r="I175" s="79"/>
      <c r="J175"/>
      <c r="K175" s="352"/>
      <c r="AO175" s="5"/>
      <c r="AP175" s="5"/>
      <c r="AQ175" s="5"/>
      <c r="AR175" s="5"/>
      <c r="AS175" s="5"/>
      <c r="AT175" s="5"/>
      <c r="AU175" s="5"/>
      <c r="AV175" s="5"/>
      <c r="AW175" s="5"/>
    </row>
    <row r="176" spans="1:49" ht="15.75" x14ac:dyDescent="0.3">
      <c r="A176" s="342"/>
      <c r="B176" s="5"/>
      <c r="C176" s="5"/>
      <c r="D176" s="39" t="s">
        <v>117</v>
      </c>
      <c r="E176" s="47">
        <f ca="1">0.85*E175*E174*E151/1000</f>
        <v>6006.8951970614571</v>
      </c>
      <c r="F176" s="5" t="s">
        <v>22</v>
      </c>
      <c r="G176" s="35" t="s">
        <v>122</v>
      </c>
      <c r="I176" s="79"/>
      <c r="J176"/>
      <c r="K176" s="352"/>
      <c r="AO176" s="5"/>
      <c r="AP176" s="5"/>
      <c r="AQ176" s="5"/>
      <c r="AR176" s="5"/>
      <c r="AS176" s="5"/>
      <c r="AT176" s="5"/>
      <c r="AU176" s="5"/>
      <c r="AV176" s="5"/>
      <c r="AW176" s="5"/>
    </row>
    <row r="177" spans="1:49" ht="13.5" thickBot="1" x14ac:dyDescent="0.25">
      <c r="B177" s="160"/>
      <c r="C177" s="160"/>
      <c r="D177" s="160"/>
      <c r="E177" s="160"/>
      <c r="F177" s="160"/>
      <c r="G177" s="161" t="str">
        <f ca="1">IF(E173&lt;=E176,"OK","NG")</f>
        <v>OK</v>
      </c>
      <c r="H177" s="160"/>
      <c r="I177" s="163"/>
      <c r="J177"/>
      <c r="K177" s="352"/>
      <c r="AO177" s="5"/>
      <c r="AP177" s="5"/>
      <c r="AQ177" s="5"/>
      <c r="AR177" s="5"/>
      <c r="AS177" s="5"/>
      <c r="AT177" s="5"/>
      <c r="AU177" s="5"/>
      <c r="AV177" s="5"/>
      <c r="AW177" s="5"/>
    </row>
    <row r="178" spans="1:49" ht="13.5" thickTop="1" x14ac:dyDescent="0.2">
      <c r="I178" s="179"/>
      <c r="J178"/>
      <c r="K178" s="352"/>
    </row>
    <row r="179" spans="1:49" ht="15" x14ac:dyDescent="0.25">
      <c r="A179" s="342"/>
      <c r="B179" s="175" t="s">
        <v>210</v>
      </c>
      <c r="C179" s="155"/>
      <c r="D179" s="155"/>
      <c r="E179" s="155"/>
      <c r="F179" s="155"/>
      <c r="G179" s="155"/>
      <c r="H179" s="155"/>
      <c r="I179" s="158"/>
      <c r="J179"/>
      <c r="K179" s="352"/>
    </row>
    <row r="180" spans="1:49" x14ac:dyDescent="0.2">
      <c r="A180" s="329"/>
      <c r="J180"/>
      <c r="K180" s="352"/>
    </row>
    <row r="181" spans="1:49" x14ac:dyDescent="0.2">
      <c r="A181" s="342"/>
      <c r="B181" s="174" t="s">
        <v>58</v>
      </c>
      <c r="J181"/>
      <c r="K181" s="352"/>
    </row>
    <row r="182" spans="1:49" x14ac:dyDescent="0.2">
      <c r="A182" s="329"/>
      <c r="J182"/>
      <c r="K182" s="352"/>
    </row>
    <row r="183" spans="1:49" x14ac:dyDescent="0.2">
      <c r="A183" s="329"/>
      <c r="J183"/>
      <c r="K183" s="352"/>
    </row>
    <row r="184" spans="1:49" x14ac:dyDescent="0.2">
      <c r="A184" s="329"/>
      <c r="J184"/>
      <c r="K184" s="352"/>
    </row>
    <row r="185" spans="1:49" x14ac:dyDescent="0.2">
      <c r="A185" s="329"/>
      <c r="J185"/>
      <c r="K185" s="352"/>
    </row>
    <row r="186" spans="1:49" x14ac:dyDescent="0.2">
      <c r="A186" s="329"/>
      <c r="J186"/>
      <c r="K186" s="352"/>
    </row>
    <row r="187" spans="1:49" x14ac:dyDescent="0.2">
      <c r="A187" s="329"/>
      <c r="J187"/>
      <c r="K187" s="352"/>
    </row>
    <row r="188" spans="1:49" x14ac:dyDescent="0.2">
      <c r="A188" s="329"/>
      <c r="J188"/>
      <c r="K188" s="352"/>
    </row>
    <row r="189" spans="1:49" x14ac:dyDescent="0.2">
      <c r="A189" s="329"/>
      <c r="J189"/>
      <c r="K189" s="352"/>
    </row>
    <row r="190" spans="1:49" x14ac:dyDescent="0.2">
      <c r="A190" s="329"/>
      <c r="J190"/>
      <c r="K190" s="352"/>
    </row>
    <row r="191" spans="1:49" x14ac:dyDescent="0.2">
      <c r="A191" s="329"/>
      <c r="J191"/>
      <c r="K191" s="352"/>
    </row>
    <row r="192" spans="1:49" x14ac:dyDescent="0.2">
      <c r="A192" s="329"/>
      <c r="J192"/>
      <c r="K192" s="352"/>
    </row>
    <row r="193" spans="1:49" x14ac:dyDescent="0.2">
      <c r="A193" s="329"/>
      <c r="J193"/>
      <c r="K193" s="352"/>
    </row>
    <row r="194" spans="1:49" x14ac:dyDescent="0.2">
      <c r="A194" s="329"/>
      <c r="J194"/>
      <c r="K194" s="352"/>
    </row>
    <row r="195" spans="1:49" x14ac:dyDescent="0.2">
      <c r="A195" s="329"/>
      <c r="J195"/>
      <c r="K195" s="352"/>
    </row>
    <row r="196" spans="1:49" x14ac:dyDescent="0.2">
      <c r="A196" s="329"/>
      <c r="J196"/>
      <c r="K196" s="352"/>
    </row>
    <row r="197" spans="1:49" x14ac:dyDescent="0.2">
      <c r="A197" s="329"/>
      <c r="J197"/>
      <c r="K197" s="352"/>
    </row>
    <row r="198" spans="1:49" x14ac:dyDescent="0.2">
      <c r="A198" s="329"/>
      <c r="J198"/>
      <c r="K198" s="352"/>
    </row>
    <row r="199" spans="1:49" x14ac:dyDescent="0.2">
      <c r="A199" s="329"/>
      <c r="J199"/>
      <c r="K199" s="352"/>
    </row>
    <row r="200" spans="1:49" x14ac:dyDescent="0.2">
      <c r="A200" s="329"/>
      <c r="J200"/>
      <c r="K200" s="352"/>
    </row>
    <row r="201" spans="1:49" x14ac:dyDescent="0.2">
      <c r="A201" s="329"/>
      <c r="B201" s="4" t="s">
        <v>50</v>
      </c>
      <c r="J201"/>
      <c r="K201" s="352"/>
    </row>
    <row r="202" spans="1:49" ht="15.75" x14ac:dyDescent="0.3">
      <c r="A202" s="342"/>
      <c r="B202" s="5"/>
      <c r="C202" s="14"/>
      <c r="D202" s="52" t="s">
        <v>123</v>
      </c>
      <c r="E202" s="29">
        <f t="array" aca="1" ref="E202" ca="1">SUM(IF('PILECAP WKST'!G5:G29&gt;E30/12/2+E151/12,D49:D73))*lf</f>
        <v>0</v>
      </c>
      <c r="F202" s="4" t="s">
        <v>22</v>
      </c>
      <c r="G202" s="5"/>
      <c r="H202" s="5"/>
      <c r="J202"/>
      <c r="K202" s="352"/>
    </row>
    <row r="203" spans="1:49" ht="15.75" x14ac:dyDescent="0.3">
      <c r="A203" s="342"/>
      <c r="B203" s="5"/>
      <c r="C203" s="5"/>
      <c r="D203" s="52" t="s">
        <v>115</v>
      </c>
      <c r="E203" s="41">
        <f>2*SQRT(FC)</f>
        <v>109.54451150103323</v>
      </c>
      <c r="F203" s="4" t="s">
        <v>20</v>
      </c>
      <c r="G203" s="4" t="s">
        <v>41</v>
      </c>
      <c r="H203" s="5"/>
      <c r="J203"/>
      <c r="K203" s="352"/>
    </row>
    <row r="204" spans="1:49" ht="14.25" x14ac:dyDescent="0.2">
      <c r="A204" s="342"/>
      <c r="B204" s="5"/>
      <c r="C204" s="5"/>
      <c r="D204" s="28" t="s">
        <v>79</v>
      </c>
      <c r="E204" s="29">
        <f ca="1">E400</f>
        <v>8.5</v>
      </c>
      <c r="F204" s="4" t="s">
        <v>23</v>
      </c>
      <c r="G204" s="35" t="s">
        <v>83</v>
      </c>
      <c r="H204" s="5"/>
      <c r="J204"/>
      <c r="K204" s="352"/>
    </row>
    <row r="205" spans="1:49" ht="15.75" x14ac:dyDescent="0.3">
      <c r="A205" s="342"/>
      <c r="B205" s="5"/>
      <c r="C205" s="5"/>
      <c r="D205" s="52" t="s">
        <v>117</v>
      </c>
      <c r="E205" s="47">
        <f ca="1">0.85*E203*E204*12*E151/1000</f>
        <v>455.88043906269979</v>
      </c>
      <c r="F205" s="4" t="s">
        <v>22</v>
      </c>
      <c r="G205" s="35" t="s">
        <v>126</v>
      </c>
      <c r="H205" s="5"/>
      <c r="J205"/>
      <c r="K205" s="352"/>
      <c r="AM205" s="70"/>
      <c r="AN205" s="70"/>
    </row>
    <row r="206" spans="1:49" x14ac:dyDescent="0.2">
      <c r="A206" s="329"/>
      <c r="G206" s="31" t="str">
        <f ca="1">IF(E202&lt;=E205,"OK","NG")</f>
        <v>OK</v>
      </c>
      <c r="J206"/>
      <c r="K206" s="352"/>
      <c r="AM206" s="70"/>
      <c r="AN206" s="70"/>
    </row>
    <row r="207" spans="1:49" s="72" customFormat="1" x14ac:dyDescent="0.2">
      <c r="A207" s="329"/>
      <c r="C207" s="71"/>
      <c r="D207" s="112" t="s">
        <v>161</v>
      </c>
      <c r="E207" s="128" t="s">
        <v>163</v>
      </c>
      <c r="F207" s="71"/>
      <c r="G207" s="31"/>
      <c r="H207" s="71"/>
      <c r="I207" s="78"/>
      <c r="J207"/>
      <c r="K207" s="352"/>
      <c r="L207" s="196"/>
      <c r="M207" s="302"/>
      <c r="N207" s="302"/>
      <c r="O207" s="294"/>
      <c r="P207" s="294"/>
      <c r="Q207" s="294"/>
      <c r="R207" s="294"/>
      <c r="S207" s="294"/>
      <c r="T207" s="294"/>
      <c r="U207" s="294"/>
      <c r="V207" s="294"/>
      <c r="W207" s="294"/>
      <c r="X207" s="294"/>
      <c r="Y207" s="208"/>
      <c r="Z207" s="208"/>
      <c r="AA207" s="208"/>
      <c r="AB207" s="208"/>
      <c r="AC207" s="208"/>
      <c r="AD207" s="208"/>
      <c r="AE207" s="70"/>
      <c r="AF207" s="70"/>
      <c r="AG207" s="70"/>
      <c r="AH207" s="70"/>
      <c r="AI207" s="70"/>
      <c r="AJ207" s="70"/>
      <c r="AK207" s="70"/>
      <c r="AL207" s="70"/>
      <c r="AM207" s="70"/>
      <c r="AN207" s="70"/>
      <c r="AO207" s="70"/>
      <c r="AP207" s="70"/>
      <c r="AQ207" s="70"/>
      <c r="AR207" s="70"/>
      <c r="AS207" s="70"/>
      <c r="AT207" s="70"/>
      <c r="AU207" s="70"/>
      <c r="AV207" s="70"/>
      <c r="AW207" s="70"/>
    </row>
    <row r="208" spans="1:49" s="72" customFormat="1" x14ac:dyDescent="0.2">
      <c r="A208" s="329"/>
      <c r="B208" s="71"/>
      <c r="C208" s="111"/>
      <c r="D208" s="111"/>
      <c r="E208" s="128" t="s">
        <v>31</v>
      </c>
      <c r="F208" s="70"/>
      <c r="G208" s="31"/>
      <c r="H208" s="71"/>
      <c r="I208" s="78"/>
      <c r="J208"/>
      <c r="K208" s="352"/>
      <c r="L208" s="196"/>
      <c r="M208" s="302"/>
      <c r="N208" s="302"/>
      <c r="O208" s="294"/>
      <c r="P208" s="294"/>
      <c r="Q208" s="294"/>
      <c r="R208" s="294"/>
      <c r="S208" s="294"/>
      <c r="T208" s="294"/>
      <c r="U208" s="294"/>
      <c r="V208" s="294"/>
      <c r="W208" s="294"/>
      <c r="X208" s="294"/>
      <c r="Y208" s="208"/>
      <c r="Z208" s="208"/>
      <c r="AA208" s="208"/>
      <c r="AB208" s="208"/>
      <c r="AC208" s="208"/>
      <c r="AD208" s="208"/>
      <c r="AE208" s="70"/>
      <c r="AF208" s="70"/>
      <c r="AG208" s="70"/>
      <c r="AH208" s="70"/>
      <c r="AI208" s="70"/>
      <c r="AJ208" s="70"/>
      <c r="AK208" s="70"/>
      <c r="AL208" s="70"/>
      <c r="AM208" s="70"/>
      <c r="AN208" s="70"/>
      <c r="AO208" s="70"/>
      <c r="AP208" s="70"/>
      <c r="AQ208" s="70"/>
      <c r="AR208" s="70"/>
      <c r="AS208" s="70"/>
      <c r="AT208" s="70"/>
      <c r="AU208" s="70"/>
      <c r="AV208" s="70"/>
      <c r="AW208" s="70"/>
    </row>
    <row r="209" spans="1:49" s="72" customFormat="1" x14ac:dyDescent="0.2">
      <c r="A209" s="329"/>
      <c r="B209" s="71"/>
      <c r="C209" s="113"/>
      <c r="D209" s="113" t="s">
        <v>147</v>
      </c>
      <c r="E209" s="11">
        <v>6</v>
      </c>
      <c r="F209" s="68" t="s">
        <v>21</v>
      </c>
      <c r="G209" s="31"/>
      <c r="H209" s="71"/>
      <c r="I209" s="78"/>
      <c r="J209"/>
      <c r="K209" s="352"/>
      <c r="L209" s="196"/>
      <c r="M209" s="302"/>
      <c r="N209" s="302"/>
      <c r="O209" s="294"/>
      <c r="P209" s="294"/>
      <c r="Q209" s="294"/>
      <c r="R209" s="294"/>
      <c r="S209" s="294"/>
      <c r="T209" s="294"/>
      <c r="U209" s="294"/>
      <c r="V209" s="294"/>
      <c r="W209" s="294"/>
      <c r="X209" s="294"/>
      <c r="Y209" s="208"/>
      <c r="Z209" s="208"/>
      <c r="AA209" s="208"/>
      <c r="AB209" s="208"/>
      <c r="AC209" s="208"/>
      <c r="AD209" s="208"/>
      <c r="AE209" s="70"/>
      <c r="AF209" s="70"/>
      <c r="AG209" s="70"/>
      <c r="AH209" s="70"/>
      <c r="AI209" s="70"/>
      <c r="AJ209" s="70"/>
      <c r="AK209" s="70"/>
      <c r="AL209" s="70"/>
      <c r="AM209" s="70"/>
      <c r="AN209" s="70"/>
      <c r="AO209" s="70"/>
      <c r="AP209" s="70"/>
      <c r="AQ209" s="70"/>
      <c r="AR209" s="70"/>
      <c r="AS209" s="70"/>
      <c r="AT209" s="70"/>
      <c r="AU209" s="70"/>
      <c r="AV209" s="70"/>
      <c r="AW209" s="70"/>
    </row>
    <row r="210" spans="1:49" s="72" customFormat="1" ht="15.75" x14ac:dyDescent="0.3">
      <c r="A210" s="329"/>
      <c r="B210" s="71"/>
      <c r="C210" s="438" t="s">
        <v>159</v>
      </c>
      <c r="D210" s="438"/>
      <c r="E210" s="29">
        <f>IF(E207="yes",VLOOKUP(E208,'PILECAP WKST'!$A$80:$C$89,2,FALSE),0)</f>
        <v>0</v>
      </c>
      <c r="F210" s="68" t="s">
        <v>153</v>
      </c>
      <c r="G210" s="31"/>
      <c r="H210" s="71"/>
      <c r="I210" s="78"/>
      <c r="J210"/>
      <c r="K210" s="352"/>
      <c r="L210" s="196"/>
      <c r="M210" s="302"/>
      <c r="N210" s="302"/>
      <c r="O210" s="294"/>
      <c r="P210" s="294"/>
      <c r="Q210" s="294"/>
      <c r="R210" s="294"/>
      <c r="S210" s="294"/>
      <c r="T210" s="294"/>
      <c r="U210" s="294"/>
      <c r="V210" s="294"/>
      <c r="W210" s="294"/>
      <c r="X210" s="294"/>
      <c r="Y210" s="208"/>
      <c r="Z210" s="208"/>
      <c r="AA210" s="208"/>
      <c r="AB210" s="208"/>
      <c r="AC210" s="208"/>
      <c r="AD210" s="208"/>
      <c r="AE210" s="70"/>
      <c r="AF210" s="70"/>
      <c r="AG210" s="70"/>
      <c r="AH210" s="70"/>
      <c r="AI210" s="70"/>
      <c r="AJ210" s="70"/>
      <c r="AK210" s="70"/>
      <c r="AL210" s="70"/>
      <c r="AM210" s="70"/>
      <c r="AN210" s="70"/>
      <c r="AO210" s="70"/>
      <c r="AP210" s="70"/>
      <c r="AQ210" s="70"/>
      <c r="AR210" s="70"/>
      <c r="AS210" s="70"/>
      <c r="AT210" s="70"/>
      <c r="AU210" s="70"/>
      <c r="AV210" s="70"/>
      <c r="AW210" s="70"/>
    </row>
    <row r="211" spans="1:49" s="72" customFormat="1" ht="15.75" x14ac:dyDescent="0.3">
      <c r="A211" s="329"/>
      <c r="B211" s="71"/>
      <c r="C211" s="63"/>
      <c r="D211" s="65" t="s">
        <v>160</v>
      </c>
      <c r="E211" s="193">
        <f>E210*$E$37*$E$151/E209</f>
        <v>0</v>
      </c>
      <c r="F211" s="60" t="s">
        <v>22</v>
      </c>
      <c r="G211" s="35" t="s">
        <v>165</v>
      </c>
      <c r="H211" s="71"/>
      <c r="I211" s="78"/>
      <c r="J211"/>
      <c r="K211" s="352"/>
      <c r="L211" s="196"/>
      <c r="M211" s="302"/>
      <c r="N211" s="302"/>
      <c r="O211" s="294"/>
      <c r="P211" s="294"/>
      <c r="Q211" s="294"/>
      <c r="R211" s="294"/>
      <c r="S211" s="294"/>
      <c r="T211" s="294"/>
      <c r="U211" s="294"/>
      <c r="V211" s="294"/>
      <c r="W211" s="294"/>
      <c r="X211" s="294"/>
      <c r="Y211" s="208"/>
      <c r="Z211" s="208"/>
      <c r="AA211" s="208"/>
      <c r="AB211" s="208"/>
      <c r="AC211" s="208"/>
      <c r="AD211" s="208"/>
      <c r="AE211" s="70"/>
      <c r="AF211" s="70"/>
      <c r="AG211" s="70"/>
      <c r="AH211" s="70"/>
      <c r="AI211" s="70"/>
      <c r="AJ211" s="70"/>
      <c r="AK211" s="70"/>
      <c r="AL211" s="70"/>
      <c r="AM211" s="70"/>
      <c r="AN211" s="70"/>
      <c r="AO211" s="70"/>
      <c r="AP211" s="70"/>
      <c r="AQ211" s="70"/>
      <c r="AR211" s="70"/>
      <c r="AS211" s="70"/>
      <c r="AT211" s="70"/>
      <c r="AU211" s="70"/>
      <c r="AV211" s="70"/>
      <c r="AW211" s="70"/>
    </row>
    <row r="212" spans="1:49" s="72" customFormat="1" ht="15.75" x14ac:dyDescent="0.3">
      <c r="A212" s="329"/>
      <c r="B212" s="71"/>
      <c r="C212" s="63"/>
      <c r="D212" s="52" t="s">
        <v>117</v>
      </c>
      <c r="E212" s="47">
        <f ca="1">0.85*(E211+E203*E204*12*$E$151/1000)</f>
        <v>455.88043906269996</v>
      </c>
      <c r="F212" s="71" t="s">
        <v>22</v>
      </c>
      <c r="G212" s="31" t="str">
        <f ca="1">IF(E202&lt;=E212,"OK","NG")</f>
        <v>OK</v>
      </c>
      <c r="H212" s="71"/>
      <c r="I212" s="78"/>
      <c r="J212"/>
      <c r="K212" s="352"/>
      <c r="L212" s="196"/>
      <c r="M212" s="302"/>
      <c r="N212" s="302"/>
      <c r="O212" s="294"/>
      <c r="P212" s="294"/>
      <c r="Q212" s="294"/>
      <c r="R212" s="294"/>
      <c r="S212" s="294"/>
      <c r="T212" s="294"/>
      <c r="U212" s="294"/>
      <c r="V212" s="294"/>
      <c r="W212" s="294"/>
      <c r="X212" s="294"/>
      <c r="Y212" s="208"/>
      <c r="Z212" s="208"/>
      <c r="AA212" s="208"/>
      <c r="AB212" s="208"/>
      <c r="AC212" s="208"/>
      <c r="AD212" s="208"/>
      <c r="AE212" s="70"/>
      <c r="AF212" s="70"/>
      <c r="AG212" s="70"/>
      <c r="AH212" s="70"/>
      <c r="AI212" s="70"/>
      <c r="AJ212" s="70"/>
      <c r="AK212" s="70"/>
      <c r="AL212" s="70"/>
      <c r="AM212"/>
      <c r="AN212"/>
      <c r="AO212" s="70"/>
      <c r="AP212" s="70"/>
      <c r="AQ212" s="70"/>
      <c r="AR212" s="70"/>
      <c r="AS212" s="70"/>
      <c r="AT212" s="70"/>
      <c r="AU212" s="70"/>
      <c r="AV212" s="70"/>
      <c r="AW212" s="70"/>
    </row>
    <row r="213" spans="1:49" s="72" customFormat="1" ht="15" x14ac:dyDescent="0.25">
      <c r="A213" s="329"/>
      <c r="B213" s="71"/>
      <c r="C213" s="63"/>
      <c r="D213" s="52"/>
      <c r="E213" s="47"/>
      <c r="F213" s="71"/>
      <c r="G213" s="31"/>
      <c r="H213" s="71"/>
      <c r="I213" s="78"/>
      <c r="J213"/>
      <c r="K213" s="352"/>
      <c r="L213" s="196"/>
      <c r="M213" s="302"/>
      <c r="N213" s="302"/>
      <c r="O213" s="294"/>
      <c r="P213" s="294"/>
      <c r="Q213" s="294"/>
      <c r="R213" s="294"/>
      <c r="S213" s="294"/>
      <c r="T213" s="294"/>
      <c r="U213" s="294"/>
      <c r="V213" s="294"/>
      <c r="W213" s="294"/>
      <c r="X213" s="294"/>
      <c r="Y213" s="208"/>
      <c r="Z213" s="208"/>
      <c r="AA213" s="208"/>
      <c r="AB213" s="208"/>
      <c r="AC213" s="208"/>
      <c r="AD213" s="208"/>
      <c r="AE213" s="70"/>
      <c r="AF213" s="70"/>
      <c r="AG213" s="70"/>
      <c r="AH213" s="70"/>
      <c r="AI213" s="70"/>
      <c r="AJ213" s="70"/>
      <c r="AK213" s="70"/>
      <c r="AL213" s="70"/>
      <c r="AM213"/>
      <c r="AN213"/>
      <c r="AO213" s="70"/>
      <c r="AP213" s="70"/>
      <c r="AQ213" s="70"/>
      <c r="AR213" s="70"/>
      <c r="AS213" s="70"/>
      <c r="AT213" s="70"/>
      <c r="AU213" s="70"/>
      <c r="AV213" s="70"/>
      <c r="AW213" s="70"/>
    </row>
    <row r="214" spans="1:49" x14ac:dyDescent="0.2">
      <c r="A214" s="342"/>
      <c r="B214" s="313" t="s">
        <v>84</v>
      </c>
      <c r="C214" s="314"/>
      <c r="D214" s="315"/>
      <c r="E214" s="316"/>
      <c r="J214"/>
      <c r="K214" s="352"/>
    </row>
    <row r="215" spans="1:49" ht="14.25" x14ac:dyDescent="0.2">
      <c r="A215" s="342"/>
      <c r="B215" s="5"/>
      <c r="C215" s="32"/>
      <c r="D215" s="20" t="s">
        <v>81</v>
      </c>
      <c r="E215" s="29">
        <f t="array" aca="1" ref="E215" ca="1">MIN(IF('PILECAP WKST'!G5:G29&gt;0,'PILECAP WKST'!G5:G29))</f>
        <v>1.5</v>
      </c>
      <c r="F215" s="5" t="s">
        <v>23</v>
      </c>
      <c r="J215"/>
      <c r="K215" s="352"/>
    </row>
    <row r="216" spans="1:49" ht="14.25" x14ac:dyDescent="0.2">
      <c r="A216" s="342"/>
      <c r="B216" s="5"/>
      <c r="C216" s="455" t="s">
        <v>76</v>
      </c>
      <c r="D216" s="455"/>
      <c r="E216" s="29">
        <f ca="1">E215*12-$E$30/2+pt+ct</f>
        <v>10</v>
      </c>
      <c r="F216" s="5" t="s">
        <v>21</v>
      </c>
      <c r="J216"/>
      <c r="K216" s="352"/>
      <c r="AM216" s="70"/>
      <c r="AN216" s="70"/>
    </row>
    <row r="217" spans="1:49" ht="14.25" x14ac:dyDescent="0.2">
      <c r="A217" s="342"/>
      <c r="B217" s="5"/>
      <c r="C217" s="455" t="s">
        <v>217</v>
      </c>
      <c r="D217" s="455"/>
      <c r="E217" s="43">
        <f ca="1">E216/E151</f>
        <v>0.20833333333333334</v>
      </c>
      <c r="F217" s="5"/>
      <c r="J217"/>
      <c r="K217" s="352"/>
    </row>
    <row r="218" spans="1:49" s="72" customFormat="1" ht="14.25" customHeight="1" x14ac:dyDescent="0.2">
      <c r="A218" s="342"/>
      <c r="B218" s="439" t="str">
        <f ca="1">IF(E217&gt;1,"w/d&gt;1.0: ignore CRSI 13-26","w/d&lt;1.0: CRSI 13-26 deep beam check needed")</f>
        <v>w/d&lt;1.0: CRSI 13-26 deep beam check needed</v>
      </c>
      <c r="C218" s="440"/>
      <c r="D218" s="440"/>
      <c r="E218" s="440"/>
      <c r="F218" s="440"/>
      <c r="G218" s="440"/>
      <c r="H218" s="441"/>
      <c r="I218" s="178"/>
      <c r="J218"/>
      <c r="K218" s="352"/>
      <c r="L218" s="196"/>
      <c r="M218" s="294"/>
      <c r="N218" s="294"/>
      <c r="O218" s="294"/>
      <c r="P218" s="294"/>
      <c r="Q218" s="294"/>
      <c r="R218" s="294"/>
      <c r="S218" s="294"/>
      <c r="T218" s="294"/>
      <c r="U218" s="294"/>
      <c r="V218" s="294"/>
      <c r="W218" s="294"/>
      <c r="X218" s="294"/>
      <c r="Y218" s="208"/>
      <c r="Z218" s="208"/>
      <c r="AA218" s="208"/>
      <c r="AB218" s="208"/>
      <c r="AC218" s="208"/>
      <c r="AD218" s="208"/>
      <c r="AE218" s="70"/>
      <c r="AF218" s="70"/>
      <c r="AG218" s="70"/>
      <c r="AH218" s="70"/>
      <c r="AI218" s="70"/>
      <c r="AJ218" s="70"/>
      <c r="AK218" s="70"/>
      <c r="AL218" s="70"/>
      <c r="AM218"/>
      <c r="AN218"/>
      <c r="AO218" s="70"/>
      <c r="AP218" s="70"/>
      <c r="AQ218" s="70"/>
      <c r="AR218" s="70"/>
      <c r="AS218" s="70"/>
      <c r="AT218" s="70"/>
      <c r="AU218" s="70"/>
      <c r="AV218" s="70"/>
      <c r="AW218" s="70"/>
    </row>
    <row r="219" spans="1:49" x14ac:dyDescent="0.2">
      <c r="A219" s="342"/>
      <c r="B219" s="442"/>
      <c r="C219" s="443"/>
      <c r="D219" s="443"/>
      <c r="E219" s="443"/>
      <c r="F219" s="443"/>
      <c r="G219" s="443"/>
      <c r="H219" s="444"/>
      <c r="J219"/>
      <c r="K219" s="352"/>
    </row>
    <row r="220" spans="1:49" x14ac:dyDescent="0.2">
      <c r="A220" s="342"/>
      <c r="B220" s="4" t="s">
        <v>100</v>
      </c>
      <c r="C220" s="28"/>
      <c r="D220" s="28"/>
      <c r="J220"/>
      <c r="K220" s="352"/>
    </row>
    <row r="221" spans="1:49" ht="15.75" x14ac:dyDescent="0.3">
      <c r="A221" s="342"/>
      <c r="B221" s="5"/>
      <c r="C221" s="22"/>
      <c r="D221" s="52" t="s">
        <v>123</v>
      </c>
      <c r="E221" s="29">
        <f t="array" aca="1" ref="E221" ca="1">SUM(IF('PILECAP WKST'!G5:G29&gt;0,D49:D73))*lf</f>
        <v>960</v>
      </c>
      <c r="F221" s="4" t="s">
        <v>22</v>
      </c>
      <c r="G221" s="5"/>
      <c r="J221"/>
      <c r="K221" s="352"/>
    </row>
    <row r="222" spans="1:49" ht="14.25" x14ac:dyDescent="0.2">
      <c r="A222" s="342"/>
      <c r="B222" s="5" t="s">
        <v>102</v>
      </c>
      <c r="C222" s="22"/>
      <c r="D222" s="28"/>
      <c r="E222" s="29"/>
      <c r="G222" s="5"/>
      <c r="J222"/>
      <c r="K222" s="352"/>
    </row>
    <row r="223" spans="1:49" ht="15.75" x14ac:dyDescent="0.3">
      <c r="A223" s="342"/>
      <c r="B223" s="5"/>
      <c r="C223" s="28"/>
      <c r="D223" s="52" t="s">
        <v>124</v>
      </c>
      <c r="E223" s="41">
        <f ca="1">MAX(ABS(SUM('PILECAP WKST'!K5:K29)),ABS(SUM('PILECAP WKST'!L5:L29)))</f>
        <v>2240</v>
      </c>
      <c r="F223" s="4" t="s">
        <v>24</v>
      </c>
      <c r="J223"/>
      <c r="K223" s="352"/>
    </row>
    <row r="224" spans="1:49" ht="15.75" x14ac:dyDescent="0.3">
      <c r="A224" s="342"/>
      <c r="B224" s="5"/>
      <c r="C224" s="22"/>
      <c r="D224" s="28" t="s">
        <v>125</v>
      </c>
      <c r="E224" s="43">
        <f ca="1">E223*12/E221/E151</f>
        <v>0.58333333333333337</v>
      </c>
      <c r="J224"/>
      <c r="K224" s="352"/>
    </row>
    <row r="225" spans="1:49" ht="15.75" customHeight="1" x14ac:dyDescent="0.2">
      <c r="A225" s="342"/>
      <c r="B225" s="5"/>
      <c r="C225" s="20"/>
      <c r="D225" s="56" t="s">
        <v>115</v>
      </c>
      <c r="E225" s="41">
        <f ca="1">MAX(MIN(10*SQRT(FC),1/E217*(3.5-2.5*E224)*(1.9*SQRT(E36)+0.1*SQRT(E36)/E224)),2*SQRT(FC))</f>
        <v>547.72255750516615</v>
      </c>
      <c r="F225" s="57" t="s">
        <v>20</v>
      </c>
      <c r="G225" s="458" t="s">
        <v>155</v>
      </c>
      <c r="H225" s="458"/>
      <c r="I225" s="459"/>
      <c r="J225"/>
      <c r="K225" s="352"/>
    </row>
    <row r="226" spans="1:49" ht="14.25" x14ac:dyDescent="0.2">
      <c r="A226" s="342"/>
      <c r="B226" s="5"/>
      <c r="C226" s="59"/>
      <c r="D226" s="56"/>
      <c r="E226" s="41"/>
      <c r="F226" s="57"/>
      <c r="G226" s="458"/>
      <c r="H226" s="458"/>
      <c r="I226" s="459"/>
      <c r="J226"/>
      <c r="K226" s="352"/>
    </row>
    <row r="227" spans="1:49" ht="14.25" x14ac:dyDescent="0.2">
      <c r="A227" s="342"/>
      <c r="B227" s="5"/>
      <c r="C227" s="59"/>
      <c r="D227" s="56"/>
      <c r="E227" s="41"/>
      <c r="F227" s="57"/>
      <c r="G227" s="458"/>
      <c r="H227" s="458"/>
      <c r="I227" s="459"/>
      <c r="J227"/>
      <c r="K227" s="352"/>
    </row>
    <row r="228" spans="1:49" ht="14.25" x14ac:dyDescent="0.2">
      <c r="A228" s="342"/>
      <c r="B228" s="5"/>
      <c r="C228" s="59"/>
      <c r="D228" s="56"/>
      <c r="E228" s="41"/>
      <c r="F228" s="57"/>
      <c r="G228" s="458"/>
      <c r="H228" s="458"/>
      <c r="I228" s="459"/>
      <c r="J228"/>
      <c r="K228" s="352"/>
    </row>
    <row r="229" spans="1:49" ht="15.75" x14ac:dyDescent="0.3">
      <c r="A229" s="342"/>
      <c r="B229" s="5"/>
      <c r="C229" s="24"/>
      <c r="D229" s="52" t="s">
        <v>117</v>
      </c>
      <c r="E229" s="47">
        <f ca="1">0.85*E225*E204*12*E151/1000</f>
        <v>2279.4021953134993</v>
      </c>
      <c r="F229" s="4" t="s">
        <v>22</v>
      </c>
      <c r="G229" s="35" t="s">
        <v>126</v>
      </c>
      <c r="H229" s="71"/>
      <c r="J229"/>
      <c r="K229" s="352"/>
      <c r="AM229" s="70"/>
      <c r="AN229" s="70"/>
    </row>
    <row r="230" spans="1:49" ht="15" x14ac:dyDescent="0.25">
      <c r="A230" s="342"/>
      <c r="B230" s="72"/>
      <c r="C230" s="111"/>
      <c r="D230" s="111"/>
      <c r="E230" s="33"/>
      <c r="F230" s="71"/>
      <c r="G230" s="31" t="str">
        <f ca="1">IF(E221&lt;=E229,"OK","NG")</f>
        <v>OK</v>
      </c>
      <c r="H230" s="71"/>
      <c r="J230"/>
      <c r="K230" s="352"/>
      <c r="AM230" s="70"/>
      <c r="AN230" s="70"/>
    </row>
    <row r="231" spans="1:49" s="72" customFormat="1" x14ac:dyDescent="0.2">
      <c r="A231" s="329"/>
      <c r="B231" s="71" t="s">
        <v>161</v>
      </c>
      <c r="C231" s="71"/>
      <c r="D231" s="71"/>
      <c r="E231" s="128" t="s">
        <v>163</v>
      </c>
      <c r="F231" s="71"/>
      <c r="G231" s="31"/>
      <c r="H231" s="71"/>
      <c r="I231" s="78"/>
      <c r="J231"/>
      <c r="K231" s="352"/>
      <c r="L231" s="196"/>
      <c r="M231" s="302"/>
      <c r="N231" s="302"/>
      <c r="O231" s="294"/>
      <c r="P231" s="294"/>
      <c r="Q231" s="294"/>
      <c r="R231" s="294"/>
      <c r="S231" s="294"/>
      <c r="T231" s="294"/>
      <c r="U231" s="294"/>
      <c r="V231" s="294"/>
      <c r="W231" s="294"/>
      <c r="X231" s="294"/>
      <c r="Y231" s="208"/>
      <c r="Z231" s="208"/>
      <c r="AA231" s="208"/>
      <c r="AB231" s="208"/>
      <c r="AC231" s="208"/>
      <c r="AD231" s="208"/>
      <c r="AE231" s="70"/>
      <c r="AF231" s="70"/>
      <c r="AG231" s="70"/>
      <c r="AH231" s="70"/>
      <c r="AI231" s="70"/>
      <c r="AJ231" s="70"/>
      <c r="AK231" s="70"/>
      <c r="AL231" s="70"/>
      <c r="AM231" s="70"/>
      <c r="AN231" s="70"/>
      <c r="AO231" s="70"/>
      <c r="AP231" s="70"/>
      <c r="AQ231" s="70"/>
      <c r="AR231" s="70"/>
      <c r="AS231" s="70"/>
      <c r="AT231" s="70"/>
      <c r="AU231" s="70"/>
      <c r="AV231" s="70"/>
      <c r="AW231" s="70"/>
    </row>
    <row r="232" spans="1:49" s="72" customFormat="1" x14ac:dyDescent="0.2">
      <c r="A232" s="329"/>
      <c r="B232" s="71"/>
      <c r="C232" s="111"/>
      <c r="D232" s="111"/>
      <c r="E232" s="129" t="s">
        <v>29</v>
      </c>
      <c r="F232" s="70"/>
      <c r="G232" s="31"/>
      <c r="H232" s="71"/>
      <c r="I232" s="78"/>
      <c r="J232"/>
      <c r="K232" s="352"/>
      <c r="L232" s="196"/>
      <c r="M232" s="302"/>
      <c r="N232" s="302"/>
      <c r="O232" s="294"/>
      <c r="P232" s="294"/>
      <c r="Q232" s="294"/>
      <c r="R232" s="294"/>
      <c r="S232" s="294"/>
      <c r="T232" s="294"/>
      <c r="U232" s="294"/>
      <c r="V232" s="294"/>
      <c r="W232" s="294"/>
      <c r="X232" s="294"/>
      <c r="Y232" s="208"/>
      <c r="Z232" s="208"/>
      <c r="AA232" s="208"/>
      <c r="AB232" s="208"/>
      <c r="AC232" s="208"/>
      <c r="AD232" s="208"/>
      <c r="AE232" s="70"/>
      <c r="AF232" s="70"/>
      <c r="AG232" s="70"/>
      <c r="AH232" s="70"/>
      <c r="AI232" s="70"/>
      <c r="AJ232" s="70"/>
      <c r="AK232" s="70"/>
      <c r="AL232" s="70"/>
      <c r="AM232" s="70"/>
      <c r="AN232" s="70"/>
      <c r="AO232" s="70"/>
      <c r="AP232" s="70"/>
      <c r="AQ232" s="70"/>
      <c r="AR232" s="70"/>
      <c r="AS232" s="70"/>
      <c r="AT232" s="70"/>
      <c r="AU232" s="70"/>
      <c r="AV232" s="70"/>
      <c r="AW232" s="70"/>
    </row>
    <row r="233" spans="1:49" s="72" customFormat="1" x14ac:dyDescent="0.2">
      <c r="A233" s="329"/>
      <c r="B233" s="71"/>
      <c r="C233" s="113"/>
      <c r="D233" s="113" t="s">
        <v>147</v>
      </c>
      <c r="E233" s="11">
        <v>8</v>
      </c>
      <c r="F233" s="68" t="s">
        <v>21</v>
      </c>
      <c r="G233" s="31"/>
      <c r="H233" s="71"/>
      <c r="I233" s="78"/>
      <c r="J233"/>
      <c r="K233" s="352"/>
      <c r="L233" s="196"/>
      <c r="M233" s="302"/>
      <c r="N233" s="302"/>
      <c r="O233" s="294"/>
      <c r="P233" s="294"/>
      <c r="Q233" s="294"/>
      <c r="R233" s="294"/>
      <c r="S233" s="294"/>
      <c r="T233" s="294"/>
      <c r="U233" s="294"/>
      <c r="V233" s="294"/>
      <c r="W233" s="294"/>
      <c r="X233" s="294"/>
      <c r="Y233" s="208"/>
      <c r="Z233" s="208"/>
      <c r="AA233" s="208"/>
      <c r="AB233" s="208"/>
      <c r="AC233" s="208"/>
      <c r="AD233" s="208"/>
      <c r="AE233" s="70"/>
      <c r="AF233" s="70"/>
      <c r="AG233" s="70"/>
      <c r="AH233" s="70"/>
      <c r="AI233" s="70"/>
      <c r="AJ233" s="70"/>
      <c r="AK233" s="70"/>
      <c r="AL233" s="70"/>
      <c r="AM233" s="70"/>
      <c r="AN233" s="70"/>
      <c r="AO233" s="70"/>
      <c r="AP233" s="70"/>
      <c r="AQ233" s="70"/>
      <c r="AR233" s="70"/>
      <c r="AS233" s="70"/>
      <c r="AT233" s="70"/>
      <c r="AU233" s="70"/>
      <c r="AV233" s="70"/>
      <c r="AW233" s="70"/>
    </row>
    <row r="234" spans="1:49" s="72" customFormat="1" ht="15.75" x14ac:dyDescent="0.3">
      <c r="A234" s="329"/>
      <c r="B234" s="71"/>
      <c r="C234" s="438" t="s">
        <v>159</v>
      </c>
      <c r="D234" s="438"/>
      <c r="E234" s="29">
        <f>IF(E231="yes",VLOOKUP(E232,'PILECAP WKST'!$A$80:$C$89,2,FALSE),0)</f>
        <v>0</v>
      </c>
      <c r="F234" s="68" t="s">
        <v>153</v>
      </c>
      <c r="G234" s="31"/>
      <c r="H234" s="71"/>
      <c r="I234" s="78"/>
      <c r="J234"/>
      <c r="K234" s="352"/>
      <c r="L234" s="196"/>
      <c r="M234" s="302"/>
      <c r="N234" s="302"/>
      <c r="O234" s="294"/>
      <c r="P234" s="294"/>
      <c r="Q234" s="294"/>
      <c r="R234" s="294"/>
      <c r="S234" s="294"/>
      <c r="T234" s="294"/>
      <c r="U234" s="294"/>
      <c r="V234" s="294"/>
      <c r="W234" s="294"/>
      <c r="X234" s="294"/>
      <c r="Y234" s="208"/>
      <c r="Z234" s="208"/>
      <c r="AA234" s="208"/>
      <c r="AB234" s="208"/>
      <c r="AC234" s="208"/>
      <c r="AD234" s="208"/>
      <c r="AE234" s="70"/>
      <c r="AF234" s="70"/>
      <c r="AG234" s="70"/>
      <c r="AH234" s="70"/>
      <c r="AI234" s="70"/>
      <c r="AJ234" s="70"/>
      <c r="AK234" s="70"/>
      <c r="AL234" s="70"/>
      <c r="AM234" s="70"/>
      <c r="AN234" s="70"/>
      <c r="AO234" s="70"/>
      <c r="AP234" s="70"/>
      <c r="AQ234" s="70"/>
      <c r="AR234" s="70"/>
      <c r="AS234" s="70"/>
      <c r="AT234" s="70"/>
      <c r="AU234" s="70"/>
      <c r="AV234" s="70"/>
      <c r="AW234" s="70"/>
    </row>
    <row r="235" spans="1:49" s="72" customFormat="1" ht="15.75" x14ac:dyDescent="0.3">
      <c r="A235" s="329"/>
      <c r="B235" s="71"/>
      <c r="C235" s="63"/>
      <c r="D235" s="65" t="s">
        <v>160</v>
      </c>
      <c r="E235" s="194">
        <f ca="1">E234*$E$37*$E$151/E233*(1+E217)/12</f>
        <v>0</v>
      </c>
      <c r="F235" s="60" t="s">
        <v>22</v>
      </c>
      <c r="G235" s="35" t="s">
        <v>166</v>
      </c>
      <c r="H235" s="71"/>
      <c r="I235" s="78"/>
      <c r="J235"/>
      <c r="K235" s="352"/>
      <c r="L235" s="196"/>
      <c r="M235" s="302"/>
      <c r="N235" s="302"/>
      <c r="O235" s="294"/>
      <c r="P235" s="294"/>
      <c r="Q235" s="294"/>
      <c r="R235" s="294"/>
      <c r="S235" s="294"/>
      <c r="T235" s="294"/>
      <c r="U235" s="294"/>
      <c r="V235" s="294"/>
      <c r="W235" s="294"/>
      <c r="X235" s="294"/>
      <c r="Y235" s="208"/>
      <c r="Z235" s="208"/>
      <c r="AA235" s="208"/>
      <c r="AB235" s="208"/>
      <c r="AC235" s="208"/>
      <c r="AD235" s="208"/>
      <c r="AE235" s="70"/>
      <c r="AF235" s="70"/>
      <c r="AG235" s="70"/>
      <c r="AH235" s="70"/>
      <c r="AI235" s="70"/>
      <c r="AJ235" s="70"/>
      <c r="AK235" s="70"/>
      <c r="AL235" s="70"/>
      <c r="AM235"/>
      <c r="AN235"/>
      <c r="AO235" s="70"/>
      <c r="AP235" s="70"/>
      <c r="AQ235" s="70"/>
      <c r="AR235" s="70"/>
      <c r="AS235" s="70"/>
      <c r="AT235" s="70"/>
      <c r="AU235" s="70"/>
      <c r="AV235" s="70"/>
      <c r="AW235" s="70"/>
    </row>
    <row r="236" spans="1:49" s="72" customFormat="1" ht="15.75" x14ac:dyDescent="0.3">
      <c r="A236" s="329"/>
      <c r="B236" s="155"/>
      <c r="C236" s="190"/>
      <c r="D236" s="191" t="s">
        <v>117</v>
      </c>
      <c r="E236" s="192">
        <f ca="1">0.85*E235+E229</f>
        <v>2279.4021953134993</v>
      </c>
      <c r="F236" s="155" t="s">
        <v>22</v>
      </c>
      <c r="G236" s="156" t="str">
        <f ca="1">IF(E221&lt;=E236,"OK","NG")</f>
        <v>OK</v>
      </c>
      <c r="H236" s="155"/>
      <c r="I236" s="158"/>
      <c r="J236"/>
      <c r="K236" s="352"/>
      <c r="L236" s="196"/>
      <c r="M236" s="302"/>
      <c r="N236" s="302"/>
      <c r="O236" s="294"/>
      <c r="P236" s="294"/>
      <c r="Q236" s="294"/>
      <c r="R236" s="294"/>
      <c r="S236" s="294"/>
      <c r="T236" s="294"/>
      <c r="U236" s="294"/>
      <c r="V236" s="294"/>
      <c r="W236" s="294"/>
      <c r="X236" s="294"/>
      <c r="Y236" s="208"/>
      <c r="Z236" s="208"/>
      <c r="AA236" s="208"/>
      <c r="AB236" s="208"/>
      <c r="AC236" s="208"/>
      <c r="AD236" s="208"/>
      <c r="AE236" s="70"/>
      <c r="AF236" s="70"/>
      <c r="AG236" s="70"/>
      <c r="AH236" s="70"/>
      <c r="AI236" s="70"/>
      <c r="AJ236" s="70"/>
      <c r="AK236" s="70"/>
      <c r="AL236" s="70"/>
      <c r="AM236"/>
      <c r="AN236"/>
      <c r="AO236" s="70"/>
      <c r="AP236" s="70"/>
      <c r="AQ236" s="70"/>
      <c r="AR236" s="70"/>
      <c r="AS236" s="70"/>
      <c r="AT236" s="70"/>
      <c r="AU236" s="70"/>
      <c r="AV236" s="70"/>
      <c r="AW236" s="70"/>
    </row>
    <row r="237" spans="1:49" ht="15" x14ac:dyDescent="0.25">
      <c r="A237" s="342"/>
      <c r="B237" s="72"/>
      <c r="C237" s="111"/>
      <c r="D237" s="111"/>
      <c r="E237" s="33"/>
      <c r="F237" s="71"/>
      <c r="G237" s="31"/>
      <c r="H237" s="71"/>
      <c r="J237"/>
      <c r="K237" s="352"/>
    </row>
    <row r="238" spans="1:49" x14ac:dyDescent="0.2">
      <c r="A238" s="342"/>
      <c r="B238" s="174" t="s">
        <v>59</v>
      </c>
      <c r="E238" s="5"/>
      <c r="J238"/>
      <c r="K238" s="352"/>
    </row>
    <row r="239" spans="1:49" ht="15" x14ac:dyDescent="0.25">
      <c r="A239" s="342"/>
      <c r="B239" s="5"/>
      <c r="C239" s="20"/>
      <c r="D239" s="20"/>
      <c r="E239" s="33"/>
      <c r="G239" s="31"/>
      <c r="J239"/>
      <c r="K239" s="352"/>
    </row>
    <row r="240" spans="1:49" ht="15" x14ac:dyDescent="0.25">
      <c r="A240" s="342"/>
      <c r="B240" s="5"/>
      <c r="C240" s="20"/>
      <c r="D240" s="20"/>
      <c r="E240" s="33"/>
      <c r="G240" s="31"/>
      <c r="J240"/>
      <c r="K240" s="352"/>
    </row>
    <row r="241" spans="1:17" ht="15" x14ac:dyDescent="0.25">
      <c r="A241" s="342"/>
      <c r="B241" s="5"/>
      <c r="C241" s="20"/>
      <c r="D241" s="20"/>
      <c r="E241" s="33"/>
      <c r="G241" s="31"/>
      <c r="J241"/>
      <c r="K241" s="352"/>
    </row>
    <row r="242" spans="1:17" ht="15" x14ac:dyDescent="0.25">
      <c r="A242" s="342"/>
      <c r="B242" s="5"/>
      <c r="C242" s="20"/>
      <c r="D242" s="20"/>
      <c r="E242" s="33"/>
      <c r="G242" s="31"/>
      <c r="J242"/>
      <c r="K242" s="352"/>
    </row>
    <row r="243" spans="1:17" ht="15" x14ac:dyDescent="0.25">
      <c r="A243" s="342"/>
      <c r="B243" s="5"/>
      <c r="C243" s="20"/>
      <c r="D243" s="20"/>
      <c r="E243" s="33"/>
      <c r="G243" s="31"/>
      <c r="J243"/>
      <c r="K243" s="352"/>
    </row>
    <row r="244" spans="1:17" ht="15" x14ac:dyDescent="0.25">
      <c r="A244" s="342"/>
      <c r="B244" s="5"/>
      <c r="C244" s="20"/>
      <c r="D244" s="20"/>
      <c r="E244" s="33"/>
      <c r="G244" s="31"/>
      <c r="J244"/>
      <c r="K244" s="352"/>
    </row>
    <row r="245" spans="1:17" ht="15" x14ac:dyDescent="0.25">
      <c r="A245" s="342"/>
      <c r="B245" s="5"/>
      <c r="C245" s="20"/>
      <c r="D245" s="20"/>
      <c r="E245" s="33"/>
      <c r="G245" s="31"/>
      <c r="J245"/>
      <c r="K245" s="352"/>
    </row>
    <row r="246" spans="1:17" ht="15" x14ac:dyDescent="0.25">
      <c r="A246" s="342"/>
      <c r="B246" s="5"/>
      <c r="C246" s="20"/>
      <c r="D246" s="20"/>
      <c r="E246" s="33"/>
      <c r="G246" s="31"/>
      <c r="J246"/>
      <c r="K246" s="352"/>
    </row>
    <row r="247" spans="1:17" ht="15" x14ac:dyDescent="0.25">
      <c r="A247" s="342"/>
      <c r="B247" s="5"/>
      <c r="C247" s="20"/>
      <c r="D247" s="20"/>
      <c r="E247" s="33"/>
      <c r="G247" s="31"/>
      <c r="J247"/>
      <c r="K247" s="352"/>
    </row>
    <row r="248" spans="1:17" ht="15" x14ac:dyDescent="0.25">
      <c r="A248" s="342"/>
      <c r="B248" s="5"/>
      <c r="C248" s="20"/>
      <c r="D248" s="20"/>
      <c r="E248" s="33"/>
      <c r="G248" s="31"/>
      <c r="J248"/>
      <c r="K248" s="352"/>
    </row>
    <row r="249" spans="1:17" ht="15" x14ac:dyDescent="0.25">
      <c r="A249" s="342"/>
      <c r="B249" s="5"/>
      <c r="C249" s="20"/>
      <c r="D249" s="20"/>
      <c r="E249" s="33"/>
      <c r="G249" s="31"/>
      <c r="J249"/>
      <c r="K249" s="352"/>
    </row>
    <row r="250" spans="1:17" ht="15" x14ac:dyDescent="0.25">
      <c r="A250" s="342"/>
      <c r="B250" s="5"/>
      <c r="C250" s="20"/>
      <c r="D250" s="20"/>
      <c r="E250" s="33"/>
      <c r="G250" s="31"/>
      <c r="J250"/>
      <c r="K250" s="352"/>
    </row>
    <row r="251" spans="1:17" ht="15" x14ac:dyDescent="0.25">
      <c r="A251" s="342"/>
      <c r="B251" s="5"/>
      <c r="C251" s="20"/>
      <c r="D251" s="20"/>
      <c r="E251" s="33"/>
      <c r="G251" s="31"/>
      <c r="J251"/>
      <c r="K251" s="352"/>
    </row>
    <row r="252" spans="1:17" ht="15" x14ac:dyDescent="0.25">
      <c r="A252" s="342"/>
      <c r="B252" s="5"/>
      <c r="C252" s="20"/>
      <c r="D252" s="20"/>
      <c r="E252" s="33"/>
      <c r="G252" s="31"/>
      <c r="J252"/>
      <c r="K252" s="352"/>
    </row>
    <row r="253" spans="1:17" ht="15" x14ac:dyDescent="0.25">
      <c r="A253" s="342"/>
      <c r="B253" s="5"/>
      <c r="C253" s="58"/>
      <c r="D253" s="58"/>
      <c r="E253" s="33"/>
      <c r="G253" s="31"/>
      <c r="J253"/>
      <c r="K253" s="352"/>
    </row>
    <row r="254" spans="1:17" ht="15" x14ac:dyDescent="0.25">
      <c r="A254" s="342"/>
      <c r="B254" s="5"/>
      <c r="C254" s="58"/>
      <c r="D254" s="58"/>
      <c r="E254" s="33"/>
      <c r="G254" s="31"/>
      <c r="J254"/>
      <c r="K254" s="352"/>
    </row>
    <row r="255" spans="1:17" x14ac:dyDescent="0.2">
      <c r="A255" s="329"/>
      <c r="B255" s="4" t="s">
        <v>154</v>
      </c>
      <c r="J255"/>
      <c r="K255" s="352"/>
      <c r="M255" s="295"/>
    </row>
    <row r="256" spans="1:17" ht="15.75" x14ac:dyDescent="0.3">
      <c r="A256" s="342"/>
      <c r="B256" s="5"/>
      <c r="C256" s="14"/>
      <c r="D256" s="52" t="s">
        <v>127</v>
      </c>
      <c r="E256" s="29">
        <f t="array" aca="1" ref="E256" ca="1">SUM(IF('PILECAP WKST'!H5:H29&gt;($E$30/12/2+$E$151/12),D49:D73,0))*lf</f>
        <v>0</v>
      </c>
      <c r="F256" s="4" t="s">
        <v>22</v>
      </c>
      <c r="G256" s="5"/>
      <c r="H256" s="5"/>
      <c r="J256"/>
      <c r="K256" s="352"/>
      <c r="Q256" s="292"/>
    </row>
    <row r="257" spans="1:49" ht="15.75" x14ac:dyDescent="0.3">
      <c r="A257" s="342"/>
      <c r="B257" s="5"/>
      <c r="C257" s="5"/>
      <c r="D257" s="52" t="s">
        <v>115</v>
      </c>
      <c r="E257" s="41">
        <f>2*SQRT(FC)</f>
        <v>109.54451150103323</v>
      </c>
      <c r="F257" s="4" t="s">
        <v>20</v>
      </c>
      <c r="G257" s="4" t="s">
        <v>41</v>
      </c>
      <c r="H257" s="5"/>
      <c r="J257"/>
      <c r="K257" s="352"/>
      <c r="Q257" s="293"/>
    </row>
    <row r="258" spans="1:49" ht="14.25" x14ac:dyDescent="0.2">
      <c r="A258" s="342"/>
      <c r="B258" s="5"/>
      <c r="C258" s="5"/>
      <c r="D258" s="39" t="s">
        <v>79</v>
      </c>
      <c r="E258" s="29">
        <f ca="1">E399</f>
        <v>11.5</v>
      </c>
      <c r="F258" s="4" t="s">
        <v>23</v>
      </c>
      <c r="G258" s="35" t="s">
        <v>83</v>
      </c>
      <c r="H258" s="5"/>
      <c r="J258"/>
      <c r="K258" s="352"/>
      <c r="O258" s="294" t="str">
        <f>'PILECAP WKST'!H20</f>
        <v/>
      </c>
      <c r="Q258" s="293"/>
    </row>
    <row r="259" spans="1:49" ht="15.75" x14ac:dyDescent="0.3">
      <c r="A259" s="342"/>
      <c r="B259" s="5"/>
      <c r="C259" s="5"/>
      <c r="D259" s="52" t="s">
        <v>117</v>
      </c>
      <c r="E259" s="47">
        <f ca="1">0.85*E257*E258*12*E151/1000</f>
        <v>616.77941755541735</v>
      </c>
      <c r="F259" s="4" t="s">
        <v>22</v>
      </c>
      <c r="G259" s="35" t="s">
        <v>164</v>
      </c>
      <c r="H259" s="5"/>
      <c r="J259"/>
      <c r="K259" s="352"/>
      <c r="O259" s="294" t="str">
        <f>'PILECAP WKST'!H21</f>
        <v/>
      </c>
    </row>
    <row r="260" spans="1:49" x14ac:dyDescent="0.2">
      <c r="A260" s="329"/>
      <c r="G260" s="31" t="str">
        <f ca="1">IF(E256&lt;=E259,"OK","NG")</f>
        <v>OK</v>
      </c>
      <c r="J260"/>
      <c r="K260" s="352"/>
      <c r="M260" s="302"/>
      <c r="N260" s="302"/>
      <c r="O260" s="294" t="str">
        <f>'PILECAP WKST'!H22</f>
        <v/>
      </c>
    </row>
    <row r="261" spans="1:49" x14ac:dyDescent="0.2">
      <c r="A261" s="329"/>
      <c r="B261" s="5"/>
      <c r="D261" s="112" t="s">
        <v>161</v>
      </c>
      <c r="E261" s="128" t="s">
        <v>163</v>
      </c>
      <c r="G261" s="31"/>
      <c r="J261"/>
      <c r="K261" s="352"/>
      <c r="M261" s="302"/>
      <c r="N261" s="302"/>
      <c r="O261" s="294" t="str">
        <f>'PILECAP WKST'!H23</f>
        <v/>
      </c>
    </row>
    <row r="262" spans="1:49" x14ac:dyDescent="0.2">
      <c r="A262" s="329"/>
      <c r="C262" s="61"/>
      <c r="D262" s="61"/>
      <c r="E262" s="128" t="s">
        <v>31</v>
      </c>
      <c r="F262"/>
      <c r="G262" s="31"/>
      <c r="J262"/>
      <c r="K262" s="352"/>
      <c r="M262" s="302"/>
      <c r="N262" s="302"/>
      <c r="O262" s="294" t="str">
        <f>'PILECAP WKST'!H24</f>
        <v/>
      </c>
    </row>
    <row r="263" spans="1:49" x14ac:dyDescent="0.2">
      <c r="A263" s="329"/>
      <c r="C263" s="62"/>
      <c r="D263" s="62" t="s">
        <v>147</v>
      </c>
      <c r="E263" s="11">
        <v>6</v>
      </c>
      <c r="F263" s="17" t="s">
        <v>21</v>
      </c>
      <c r="G263" s="31"/>
      <c r="J263"/>
      <c r="K263" s="352"/>
      <c r="M263" s="302"/>
      <c r="N263" s="302"/>
      <c r="O263" s="294" t="str">
        <f>'PILECAP WKST'!H25</f>
        <v/>
      </c>
    </row>
    <row r="264" spans="1:49" ht="15.75" x14ac:dyDescent="0.3">
      <c r="A264" s="329"/>
      <c r="C264" s="438" t="s">
        <v>159</v>
      </c>
      <c r="D264" s="438"/>
      <c r="E264" s="29">
        <f>IF(E261="yes",VLOOKUP(E262,'PILECAP WKST'!$A$80:$C$89,2,FALSE),0)</f>
        <v>0</v>
      </c>
      <c r="F264" s="17" t="s">
        <v>153</v>
      </c>
      <c r="G264" s="31"/>
      <c r="J264"/>
      <c r="K264" s="352"/>
      <c r="M264" s="302"/>
      <c r="N264" s="302"/>
      <c r="O264" s="294" t="str">
        <f>'PILECAP WKST'!H26</f>
        <v/>
      </c>
    </row>
    <row r="265" spans="1:49" ht="15.75" x14ac:dyDescent="0.3">
      <c r="A265" s="329"/>
      <c r="C265" s="63"/>
      <c r="D265" s="65" t="s">
        <v>160</v>
      </c>
      <c r="E265" s="193">
        <f>E264*$E$37*$E$151/E263</f>
        <v>0</v>
      </c>
      <c r="F265" s="60" t="s">
        <v>22</v>
      </c>
      <c r="G265" s="35" t="s">
        <v>165</v>
      </c>
      <c r="J265"/>
      <c r="K265" s="352"/>
      <c r="M265" s="302"/>
      <c r="N265" s="302"/>
      <c r="O265" s="294" t="str">
        <f>'PILECAP WKST'!H27</f>
        <v/>
      </c>
    </row>
    <row r="266" spans="1:49" ht="15.75" x14ac:dyDescent="0.3">
      <c r="A266" s="329"/>
      <c r="C266" s="63"/>
      <c r="D266" s="52" t="s">
        <v>117</v>
      </c>
      <c r="E266" s="47">
        <f ca="1">0.85*(E265+E257*E258*12*$E$151/1000)</f>
        <v>616.77941755541735</v>
      </c>
      <c r="F266" s="4" t="s">
        <v>22</v>
      </c>
      <c r="G266" s="31" t="str">
        <f ca="1">IF(E256&lt;=E266,"OK","NG")</f>
        <v>OK</v>
      </c>
      <c r="J266"/>
      <c r="K266" s="352"/>
      <c r="M266" s="302"/>
      <c r="N266" s="302"/>
      <c r="O266" s="294" t="str">
        <f>'PILECAP WKST'!H28</f>
        <v/>
      </c>
    </row>
    <row r="267" spans="1:49" x14ac:dyDescent="0.2">
      <c r="A267" s="329"/>
      <c r="G267" s="31"/>
      <c r="J267"/>
      <c r="K267" s="352"/>
      <c r="M267" s="302"/>
      <c r="N267" s="302"/>
    </row>
    <row r="268" spans="1:49" x14ac:dyDescent="0.2">
      <c r="A268" s="342"/>
      <c r="B268" s="313" t="s">
        <v>84</v>
      </c>
      <c r="C268" s="30"/>
      <c r="D268" s="5"/>
      <c r="E268" s="31"/>
      <c r="J268"/>
      <c r="K268" s="352"/>
    </row>
    <row r="269" spans="1:49" ht="14.25" x14ac:dyDescent="0.2">
      <c r="A269" s="342"/>
      <c r="B269" s="5"/>
      <c r="C269" s="32"/>
      <c r="D269" s="20" t="s">
        <v>158</v>
      </c>
      <c r="E269" s="29">
        <f t="array" aca="1" ref="E269" ca="1">MIN(IF('PILECAP WKST'!H5:H29&gt;0,'PILECAP WKST'!H5:H29))</f>
        <v>3</v>
      </c>
      <c r="F269" s="5" t="s">
        <v>23</v>
      </c>
      <c r="J269"/>
      <c r="K269" s="352"/>
    </row>
    <row r="270" spans="1:49" ht="14.25" x14ac:dyDescent="0.2">
      <c r="A270" s="342"/>
      <c r="B270" s="5"/>
      <c r="C270" s="455" t="s">
        <v>76</v>
      </c>
      <c r="D270" s="455"/>
      <c r="E270" s="29">
        <f ca="1">E269*12-$E$30/2+pt+ct</f>
        <v>28</v>
      </c>
      <c r="F270" s="5" t="s">
        <v>21</v>
      </c>
      <c r="J270"/>
      <c r="K270" s="352"/>
      <c r="AM270" s="70"/>
      <c r="AN270" s="70"/>
    </row>
    <row r="271" spans="1:49" ht="14.25" x14ac:dyDescent="0.2">
      <c r="A271" s="342"/>
      <c r="B271" s="5"/>
      <c r="C271" s="455" t="s">
        <v>82</v>
      </c>
      <c r="D271" s="455"/>
      <c r="E271" s="43">
        <f ca="1">E270/E151</f>
        <v>0.58333333333333337</v>
      </c>
      <c r="F271" s="5"/>
      <c r="J271"/>
      <c r="K271" s="352"/>
    </row>
    <row r="272" spans="1:49" s="72" customFormat="1" ht="14.25" customHeight="1" x14ac:dyDescent="0.2">
      <c r="A272" s="342"/>
      <c r="B272" s="439" t="str">
        <f ca="1">IF(E271&gt;1,"w/d&gt;1.0, ignore CRSI 13-26","w/d&lt;1.0,CRSI 13-26 deep beam check needed")</f>
        <v>w/d&lt;1.0,CRSI 13-26 deep beam check needed</v>
      </c>
      <c r="C272" s="440"/>
      <c r="D272" s="440"/>
      <c r="E272" s="440"/>
      <c r="F272" s="440"/>
      <c r="G272" s="440"/>
      <c r="H272" s="441"/>
      <c r="I272" s="178"/>
      <c r="J272"/>
      <c r="K272" s="352"/>
      <c r="L272" s="196"/>
      <c r="M272" s="294"/>
      <c r="N272" s="294"/>
      <c r="O272" s="294"/>
      <c r="P272" s="294"/>
      <c r="Q272" s="294"/>
      <c r="R272" s="294"/>
      <c r="S272" s="294"/>
      <c r="T272" s="294"/>
      <c r="U272" s="294"/>
      <c r="V272" s="294"/>
      <c r="W272" s="294"/>
      <c r="X272" s="294"/>
      <c r="Y272" s="208"/>
      <c r="Z272" s="208"/>
      <c r="AA272" s="208"/>
      <c r="AB272" s="208"/>
      <c r="AC272" s="208"/>
      <c r="AD272" s="208"/>
      <c r="AE272" s="70"/>
      <c r="AF272" s="70"/>
      <c r="AG272" s="70"/>
      <c r="AH272" s="70"/>
      <c r="AI272" s="70"/>
      <c r="AJ272" s="70"/>
      <c r="AK272" s="70"/>
      <c r="AL272" s="70"/>
      <c r="AM272"/>
      <c r="AN272"/>
      <c r="AO272" s="70"/>
      <c r="AP272" s="70"/>
      <c r="AQ272" s="70"/>
      <c r="AR272" s="70"/>
      <c r="AS272" s="70"/>
      <c r="AT272" s="70"/>
      <c r="AU272" s="70"/>
      <c r="AV272" s="70"/>
      <c r="AW272" s="70"/>
    </row>
    <row r="273" spans="1:14" ht="12.75" customHeight="1" x14ac:dyDescent="0.2">
      <c r="A273" s="343"/>
      <c r="B273" s="442"/>
      <c r="C273" s="443"/>
      <c r="D273" s="443"/>
      <c r="E273" s="443"/>
      <c r="F273" s="443"/>
      <c r="G273" s="443"/>
      <c r="H273" s="444"/>
      <c r="J273" s="392" t="s">
        <v>157</v>
      </c>
      <c r="K273" s="393"/>
    </row>
    <row r="274" spans="1:14" x14ac:dyDescent="0.2">
      <c r="A274" s="342"/>
      <c r="B274" s="4" t="s">
        <v>101</v>
      </c>
      <c r="C274" s="28"/>
      <c r="D274" s="28"/>
      <c r="J274" s="394"/>
      <c r="K274" s="395"/>
      <c r="M274" s="295"/>
    </row>
    <row r="275" spans="1:14" ht="14.25" x14ac:dyDescent="0.2">
      <c r="A275" s="342"/>
      <c r="B275" s="5"/>
      <c r="C275" s="22"/>
      <c r="D275" s="4" t="s">
        <v>85</v>
      </c>
      <c r="E275" s="29">
        <f t="array" aca="1" ref="E275" ca="1">SUM(IF('PILECAP WKST'!H5:H29&gt;0,D49:D73))*lf</f>
        <v>640</v>
      </c>
      <c r="F275" s="4" t="s">
        <v>22</v>
      </c>
      <c r="G275" s="5"/>
      <c r="J275" s="396"/>
      <c r="K275" s="397"/>
      <c r="M275" s="295"/>
    </row>
    <row r="276" spans="1:14" ht="14.25" x14ac:dyDescent="0.2">
      <c r="A276" s="342"/>
      <c r="B276" s="5" t="s">
        <v>102</v>
      </c>
      <c r="C276" s="22"/>
      <c r="D276" s="28"/>
      <c r="E276" s="29"/>
      <c r="G276" s="5"/>
      <c r="J276" s="231"/>
      <c r="K276" s="357"/>
    </row>
    <row r="277" spans="1:14" ht="15.75" x14ac:dyDescent="0.3">
      <c r="A277" s="342"/>
      <c r="B277" s="5"/>
      <c r="C277" s="39"/>
      <c r="D277" s="52" t="s">
        <v>124</v>
      </c>
      <c r="E277" s="41">
        <f ca="1">MAX(ABS(SUM('PILECAP WKST'!M5:M29)),ABS(SUM('PILECAP WKST'!N5:N29)))</f>
        <v>1493.3333333333335</v>
      </c>
      <c r="F277" s="4" t="s">
        <v>24</v>
      </c>
      <c r="J277" s="231"/>
      <c r="K277" s="357"/>
    </row>
    <row r="278" spans="1:14" ht="15.75" x14ac:dyDescent="0.3">
      <c r="A278" s="342"/>
      <c r="B278" s="5"/>
      <c r="C278" s="22"/>
      <c r="D278" s="39" t="s">
        <v>125</v>
      </c>
      <c r="E278" s="43">
        <f ca="1">E277*12/E275/E151</f>
        <v>0.58333333333333337</v>
      </c>
      <c r="J278"/>
      <c r="K278" s="352"/>
    </row>
    <row r="279" spans="1:14" ht="15.75" customHeight="1" x14ac:dyDescent="0.2">
      <c r="A279" s="342"/>
      <c r="B279" s="5"/>
      <c r="C279" s="40"/>
      <c r="D279" s="56" t="s">
        <v>115</v>
      </c>
      <c r="E279" s="41">
        <f ca="1">MAX(MIN(10*SQRT(FC),1/E271*(3.5-2.5*E278)*(1.9*SQRT(FC)+0.1*SQRT(FC)/E278)),2*SQRT(FC))</f>
        <v>397.09885419124538</v>
      </c>
      <c r="F279" s="57" t="s">
        <v>20</v>
      </c>
      <c r="G279" s="458" t="s">
        <v>155</v>
      </c>
      <c r="H279" s="458"/>
      <c r="I279" s="459"/>
      <c r="J279"/>
      <c r="K279" s="352"/>
    </row>
    <row r="280" spans="1:14" ht="14.25" x14ac:dyDescent="0.2">
      <c r="A280" s="342"/>
      <c r="B280" s="5"/>
      <c r="C280" s="59"/>
      <c r="D280" s="56"/>
      <c r="E280" s="41"/>
      <c r="F280" s="57"/>
      <c r="G280" s="458"/>
      <c r="H280" s="458"/>
      <c r="I280" s="459"/>
      <c r="J280"/>
      <c r="K280" s="352"/>
    </row>
    <row r="281" spans="1:14" ht="14.25" x14ac:dyDescent="0.2">
      <c r="A281" s="342"/>
      <c r="B281" s="5"/>
      <c r="C281" s="59"/>
      <c r="D281" s="56"/>
      <c r="E281" s="41"/>
      <c r="F281" s="57"/>
      <c r="G281" s="458"/>
      <c r="H281" s="458"/>
      <c r="I281" s="459"/>
      <c r="J281"/>
      <c r="K281" s="352"/>
      <c r="L281" s="199"/>
    </row>
    <row r="282" spans="1:14" ht="14.25" x14ac:dyDescent="0.2">
      <c r="A282" s="342"/>
      <c r="B282" s="5"/>
      <c r="C282" s="59"/>
      <c r="D282" s="56"/>
      <c r="E282" s="41"/>
      <c r="F282" s="57"/>
      <c r="G282" s="458"/>
      <c r="H282" s="458"/>
      <c r="I282" s="459"/>
      <c r="J282"/>
      <c r="K282" s="352"/>
    </row>
    <row r="283" spans="1:14" ht="15.75" x14ac:dyDescent="0.3">
      <c r="A283" s="342"/>
      <c r="B283" s="5"/>
      <c r="C283" s="24"/>
      <c r="D283" s="52" t="s">
        <v>117</v>
      </c>
      <c r="E283" s="47">
        <f ca="1">0.85*E279*E258*12*E151/1000</f>
        <v>2235.8253886383877</v>
      </c>
      <c r="F283" s="4" t="s">
        <v>22</v>
      </c>
      <c r="G283" s="35" t="s">
        <v>126</v>
      </c>
      <c r="J283"/>
      <c r="K283" s="352"/>
    </row>
    <row r="284" spans="1:14" ht="15" x14ac:dyDescent="0.25">
      <c r="A284" s="342"/>
      <c r="B284" s="5"/>
      <c r="C284" s="20"/>
      <c r="D284" s="20"/>
      <c r="E284" s="33"/>
      <c r="G284" s="31" t="str">
        <f ca="1">IF(E275&lt;=E283,"OK","NG")</f>
        <v>OK</v>
      </c>
      <c r="J284"/>
      <c r="K284" s="352"/>
    </row>
    <row r="285" spans="1:14" x14ac:dyDescent="0.2">
      <c r="A285" s="329"/>
      <c r="B285" s="4" t="s">
        <v>161</v>
      </c>
      <c r="E285" s="128" t="s">
        <v>163</v>
      </c>
      <c r="G285" s="31"/>
      <c r="J285"/>
      <c r="K285" s="352"/>
      <c r="M285" s="302"/>
      <c r="N285" s="302"/>
    </row>
    <row r="286" spans="1:14" x14ac:dyDescent="0.2">
      <c r="A286" s="329"/>
      <c r="C286" s="61"/>
      <c r="D286" s="61"/>
      <c r="E286" s="129" t="s">
        <v>31</v>
      </c>
      <c r="F286"/>
      <c r="G286" s="31"/>
      <c r="J286"/>
      <c r="K286" s="352"/>
      <c r="M286" s="302"/>
      <c r="N286" s="302"/>
    </row>
    <row r="287" spans="1:14" x14ac:dyDescent="0.2">
      <c r="A287" s="329"/>
      <c r="C287" s="62"/>
      <c r="D287" s="62" t="s">
        <v>147</v>
      </c>
      <c r="E287" s="11">
        <v>6</v>
      </c>
      <c r="F287" s="17" t="s">
        <v>21</v>
      </c>
      <c r="G287" s="31"/>
      <c r="J287"/>
      <c r="K287" s="352"/>
      <c r="M287" s="302"/>
      <c r="N287" s="302"/>
    </row>
    <row r="288" spans="1:14" ht="15.75" x14ac:dyDescent="0.3">
      <c r="A288" s="329"/>
      <c r="C288" s="438" t="s">
        <v>159</v>
      </c>
      <c r="D288" s="438"/>
      <c r="E288" s="29">
        <f>IF(E285="yes",VLOOKUP(E286,'PILECAP WKST'!$A$80:$C$89,2,FALSE),0)</f>
        <v>0</v>
      </c>
      <c r="F288" s="17" t="s">
        <v>153</v>
      </c>
      <c r="G288" s="31"/>
      <c r="J288"/>
      <c r="K288" s="352"/>
      <c r="M288" s="302"/>
      <c r="N288" s="302"/>
    </row>
    <row r="289" spans="1:14" ht="15.75" x14ac:dyDescent="0.3">
      <c r="A289" s="329"/>
      <c r="C289" s="63"/>
      <c r="D289" s="65" t="s">
        <v>160</v>
      </c>
      <c r="E289" s="64">
        <f ca="1">E288*$E$37*$E$151/E287*(1+E271)/12</f>
        <v>0</v>
      </c>
      <c r="F289" s="60" t="s">
        <v>22</v>
      </c>
      <c r="G289" s="35" t="s">
        <v>166</v>
      </c>
      <c r="J289"/>
      <c r="K289" s="352"/>
      <c r="M289" s="302"/>
      <c r="N289" s="302"/>
    </row>
    <row r="290" spans="1:14" ht="15.75" x14ac:dyDescent="0.3">
      <c r="A290" s="329"/>
      <c r="C290" s="63"/>
      <c r="D290" s="52" t="s">
        <v>117</v>
      </c>
      <c r="E290" s="47">
        <f ca="1">0.85*E289+E283</f>
        <v>2235.8253886383877</v>
      </c>
      <c r="F290" s="4" t="s">
        <v>22</v>
      </c>
      <c r="G290" s="31" t="str">
        <f ca="1">IF(E275&lt;=E290,"OK","NG")</f>
        <v>OK</v>
      </c>
      <c r="J290"/>
      <c r="K290" s="352"/>
      <c r="M290" s="302"/>
      <c r="N290" s="302"/>
    </row>
    <row r="291" spans="1:14" ht="13.5" thickBot="1" x14ac:dyDescent="0.25">
      <c r="A291" s="329"/>
      <c r="B291" s="160"/>
      <c r="C291" s="160"/>
      <c r="D291" s="160"/>
      <c r="E291" s="160"/>
      <c r="F291" s="160"/>
      <c r="G291" s="161"/>
      <c r="H291" s="160"/>
      <c r="I291" s="163"/>
      <c r="J291"/>
      <c r="K291" s="352"/>
      <c r="M291" s="302"/>
      <c r="N291" s="302"/>
    </row>
    <row r="292" spans="1:14" ht="13.5" thickTop="1" x14ac:dyDescent="0.2">
      <c r="F292" s="5"/>
      <c r="J292"/>
      <c r="K292" s="352"/>
    </row>
    <row r="293" spans="1:14" ht="15.75" customHeight="1" x14ac:dyDescent="0.25">
      <c r="A293" s="342"/>
      <c r="B293" s="141" t="s">
        <v>218</v>
      </c>
      <c r="F293" s="5"/>
      <c r="J293"/>
      <c r="K293" s="352"/>
    </row>
    <row r="294" spans="1:14" x14ac:dyDescent="0.2">
      <c r="A294" s="329"/>
      <c r="F294" s="5"/>
      <c r="J294"/>
      <c r="K294" s="352"/>
    </row>
    <row r="295" spans="1:14" ht="15.75" x14ac:dyDescent="0.3">
      <c r="A295" s="342"/>
      <c r="B295" s="5"/>
      <c r="C295" s="53"/>
      <c r="D295" s="52" t="s">
        <v>115</v>
      </c>
      <c r="E295" s="41">
        <f>4*SQRT(E36)</f>
        <v>219.08902300206645</v>
      </c>
      <c r="F295" s="5" t="s">
        <v>20</v>
      </c>
      <c r="G295" s="4" t="s">
        <v>40</v>
      </c>
      <c r="J295"/>
      <c r="K295" s="352"/>
    </row>
    <row r="296" spans="1:14" ht="14.25" x14ac:dyDescent="0.2">
      <c r="A296" s="342"/>
      <c r="B296" s="5"/>
      <c r="C296" s="53"/>
      <c r="D296" s="39" t="s">
        <v>86</v>
      </c>
      <c r="E296" s="41">
        <f>PI()*(E29+E151)</f>
        <v>175.92918860102841</v>
      </c>
      <c r="F296" s="5" t="s">
        <v>21</v>
      </c>
      <c r="G296" s="35" t="s">
        <v>128</v>
      </c>
      <c r="J296"/>
      <c r="K296" s="352"/>
    </row>
    <row r="297" spans="1:14" ht="15.75" x14ac:dyDescent="0.3">
      <c r="A297" s="342"/>
      <c r="B297" s="5"/>
      <c r="C297" s="40"/>
      <c r="D297" s="52" t="s">
        <v>117</v>
      </c>
      <c r="E297" s="47">
        <f>0.85*E295*E296*E151/1000</f>
        <v>1572.6014851643406</v>
      </c>
      <c r="F297" s="5" t="s">
        <v>22</v>
      </c>
      <c r="G297" s="31" t="str">
        <f>IF(D74&lt;=E297,"OK","NG")</f>
        <v>OK</v>
      </c>
      <c r="H297" s="5"/>
      <c r="J297"/>
      <c r="K297" s="352"/>
    </row>
    <row r="298" spans="1:14" ht="16.5" thickBot="1" x14ac:dyDescent="0.35">
      <c r="A298" s="342"/>
      <c r="B298" s="162"/>
      <c r="C298" s="160"/>
      <c r="D298" s="188" t="s">
        <v>224</v>
      </c>
      <c r="E298" s="180">
        <f>$D$74</f>
        <v>100</v>
      </c>
      <c r="F298" s="160" t="s">
        <v>225</v>
      </c>
      <c r="G298" s="160" t="s">
        <v>275</v>
      </c>
      <c r="H298" s="160"/>
      <c r="I298" s="163"/>
      <c r="J298"/>
      <c r="K298" s="352"/>
    </row>
    <row r="299" spans="1:14" ht="13.5" thickTop="1" x14ac:dyDescent="0.2">
      <c r="D299" s="5"/>
      <c r="E299" s="48"/>
      <c r="J299"/>
      <c r="K299" s="352"/>
    </row>
    <row r="300" spans="1:14" ht="15" x14ac:dyDescent="0.25">
      <c r="A300" s="342"/>
      <c r="B300" s="141" t="s">
        <v>219</v>
      </c>
      <c r="D300" s="5"/>
      <c r="E300" s="48"/>
      <c r="J300"/>
      <c r="K300" s="352"/>
    </row>
    <row r="301" spans="1:14" x14ac:dyDescent="0.2">
      <c r="A301" s="329"/>
      <c r="D301" s="5"/>
      <c r="E301" s="48"/>
      <c r="J301"/>
      <c r="K301" s="352"/>
    </row>
    <row r="302" spans="1:14" ht="15.75" x14ac:dyDescent="0.3">
      <c r="A302" s="342"/>
      <c r="B302" s="5"/>
      <c r="C302" s="53"/>
      <c r="D302" s="52" t="s">
        <v>115</v>
      </c>
      <c r="E302" s="41">
        <f>4*SQRT(E36)</f>
        <v>219.08902300206645</v>
      </c>
      <c r="F302" s="5" t="s">
        <v>20</v>
      </c>
      <c r="G302" s="4" t="s">
        <v>40</v>
      </c>
      <c r="J302"/>
      <c r="K302" s="352"/>
    </row>
    <row r="303" spans="1:14" ht="14.25" x14ac:dyDescent="0.2">
      <c r="A303" s="342"/>
      <c r="B303" s="5"/>
      <c r="C303" s="53"/>
      <c r="D303" s="39" t="s">
        <v>86</v>
      </c>
      <c r="E303" s="41">
        <f>PI()*(E29+E151)+E103*12*2</f>
        <v>247.92918860102841</v>
      </c>
      <c r="F303" s="5" t="s">
        <v>21</v>
      </c>
      <c r="G303" s="35" t="s">
        <v>129</v>
      </c>
      <c r="J303"/>
      <c r="K303" s="352"/>
    </row>
    <row r="304" spans="1:14" ht="15.75" x14ac:dyDescent="0.3">
      <c r="A304" s="342"/>
      <c r="B304" s="5"/>
      <c r="C304" s="40"/>
      <c r="D304" s="52" t="s">
        <v>117</v>
      </c>
      <c r="E304" s="47">
        <f>0.85*E302*E303*E151/1000</f>
        <v>2216.1973991352106</v>
      </c>
      <c r="F304" s="5" t="s">
        <v>22</v>
      </c>
      <c r="G304" s="31" t="str">
        <f>IF(2*D74&lt;=E304,"OK","NG")</f>
        <v>OK</v>
      </c>
      <c r="H304" s="5"/>
      <c r="J304"/>
      <c r="K304" s="352"/>
    </row>
    <row r="305" spans="1:49" ht="16.5" thickBot="1" x14ac:dyDescent="0.35">
      <c r="A305" s="342"/>
      <c r="B305" s="162"/>
      <c r="C305" s="160"/>
      <c r="D305" s="188" t="s">
        <v>224</v>
      </c>
      <c r="E305" s="180">
        <f>2*$D$74</f>
        <v>200</v>
      </c>
      <c r="F305" s="160" t="s">
        <v>225</v>
      </c>
      <c r="G305" s="160" t="s">
        <v>276</v>
      </c>
      <c r="H305" s="160"/>
      <c r="I305" s="163"/>
      <c r="J305"/>
      <c r="K305" s="352"/>
    </row>
    <row r="306" spans="1:49" ht="15" thickTop="1" x14ac:dyDescent="0.2">
      <c r="C306" s="29"/>
      <c r="E306" s="48"/>
      <c r="J306"/>
      <c r="K306" s="352"/>
    </row>
    <row r="307" spans="1:49" ht="15" x14ac:dyDescent="0.25">
      <c r="A307" s="342"/>
      <c r="B307" s="141" t="s">
        <v>220</v>
      </c>
      <c r="C307" s="29"/>
      <c r="D307" s="5"/>
      <c r="E307" s="48"/>
      <c r="J307"/>
      <c r="K307" s="352"/>
    </row>
    <row r="308" spans="1:49" ht="14.25" x14ac:dyDescent="0.2">
      <c r="A308" s="329"/>
      <c r="C308" s="29"/>
      <c r="D308" s="5"/>
      <c r="E308" s="48"/>
      <c r="J308"/>
      <c r="K308" s="352"/>
    </row>
    <row r="309" spans="1:49" ht="15.75" x14ac:dyDescent="0.3">
      <c r="A309" s="342"/>
      <c r="B309" s="5"/>
      <c r="C309" s="53"/>
      <c r="D309" s="52" t="s">
        <v>115</v>
      </c>
      <c r="E309" s="41">
        <f>4*SQRT(E36)</f>
        <v>219.08902300206645</v>
      </c>
      <c r="F309" s="5" t="s">
        <v>20</v>
      </c>
      <c r="G309" s="4" t="s">
        <v>40</v>
      </c>
      <c r="J309"/>
      <c r="K309" s="352"/>
    </row>
    <row r="310" spans="1:49" ht="14.25" x14ac:dyDescent="0.2">
      <c r="A310" s="342"/>
      <c r="B310" s="5"/>
      <c r="C310" s="53"/>
      <c r="D310" s="39" t="s">
        <v>86</v>
      </c>
      <c r="E310" s="41">
        <f>PI()*(E29+E151)/4+e*2</f>
        <v>73.982297150257097</v>
      </c>
      <c r="F310" s="5" t="s">
        <v>21</v>
      </c>
      <c r="G310" s="35" t="s">
        <v>130</v>
      </c>
      <c r="J310"/>
      <c r="K310" s="352"/>
    </row>
    <row r="311" spans="1:49" ht="15.75" x14ac:dyDescent="0.3">
      <c r="A311" s="342"/>
      <c r="B311" s="5"/>
      <c r="C311" s="40"/>
      <c r="D311" s="52" t="s">
        <v>117</v>
      </c>
      <c r="E311" s="47">
        <f>0.85*E309*E310*E151/1000</f>
        <v>661.31533544561444</v>
      </c>
      <c r="F311" s="5" t="s">
        <v>22</v>
      </c>
      <c r="G311" s="31" t="str">
        <f>IF(D74&lt;=E311,"OK","NG")</f>
        <v>OK</v>
      </c>
      <c r="H311" s="5"/>
      <c r="J311"/>
      <c r="K311" s="352"/>
    </row>
    <row r="312" spans="1:49" ht="16.5" thickBot="1" x14ac:dyDescent="0.35">
      <c r="A312" s="342"/>
      <c r="B312" s="162"/>
      <c r="C312" s="160"/>
      <c r="D312" s="188" t="s">
        <v>224</v>
      </c>
      <c r="E312" s="180">
        <f>$D$74</f>
        <v>100</v>
      </c>
      <c r="F312" s="160" t="s">
        <v>225</v>
      </c>
      <c r="G312" s="160" t="s">
        <v>275</v>
      </c>
      <c r="H312" s="160"/>
      <c r="I312" s="163"/>
      <c r="J312"/>
      <c r="K312" s="352"/>
    </row>
    <row r="313" spans="1:49" ht="15" thickTop="1" x14ac:dyDescent="0.2">
      <c r="C313" s="29"/>
      <c r="E313" s="48"/>
      <c r="J313"/>
      <c r="K313" s="352"/>
    </row>
    <row r="314" spans="1:49" ht="15" x14ac:dyDescent="0.25">
      <c r="A314" s="342"/>
      <c r="B314" s="141" t="s">
        <v>221</v>
      </c>
      <c r="C314" s="29"/>
      <c r="E314" s="48"/>
      <c r="J314"/>
      <c r="K314" s="352"/>
    </row>
    <row r="315" spans="1:49" ht="14.25" x14ac:dyDescent="0.2">
      <c r="A315" s="329"/>
      <c r="C315" s="29"/>
      <c r="E315" s="48"/>
      <c r="J315"/>
      <c r="K315" s="352"/>
    </row>
    <row r="316" spans="1:49" ht="15.75" x14ac:dyDescent="0.3">
      <c r="A316" s="342"/>
      <c r="B316" s="5"/>
      <c r="C316" s="53"/>
      <c r="D316" s="52" t="s">
        <v>115</v>
      </c>
      <c r="E316" s="41">
        <f>2*SQRT(E36)</f>
        <v>109.54451150103323</v>
      </c>
      <c r="F316" s="5" t="s">
        <v>20</v>
      </c>
      <c r="J316" s="392" t="s">
        <v>98</v>
      </c>
      <c r="K316" s="393"/>
    </row>
    <row r="317" spans="1:49" ht="14.25" x14ac:dyDescent="0.2">
      <c r="A317" s="342"/>
      <c r="B317" s="5"/>
      <c r="C317" s="53"/>
      <c r="D317" s="39" t="s">
        <v>86</v>
      </c>
      <c r="E317" s="41">
        <f>SQRT(2)*(E151+E29/2+SQRT(2)*e)</f>
        <v>103.53910524340095</v>
      </c>
      <c r="F317" s="5" t="s">
        <v>21</v>
      </c>
      <c r="G317" s="35" t="s">
        <v>131</v>
      </c>
      <c r="J317" s="394"/>
      <c r="K317" s="395"/>
    </row>
    <row r="318" spans="1:49" ht="16.5" thickBot="1" x14ac:dyDescent="0.35">
      <c r="A318" s="342"/>
      <c r="B318" s="5"/>
      <c r="C318" s="40"/>
      <c r="D318" s="52" t="s">
        <v>117</v>
      </c>
      <c r="E318" s="47">
        <f>0.85*E316*E317*E151/1000</f>
        <v>462.75934076981093</v>
      </c>
      <c r="F318" s="5" t="s">
        <v>22</v>
      </c>
      <c r="G318" s="31" t="str">
        <f>IF(D74&lt;=E318,"OK","NG")</f>
        <v>OK</v>
      </c>
      <c r="H318" s="5"/>
      <c r="J318" s="396"/>
      <c r="K318" s="397"/>
      <c r="AM318" s="177"/>
      <c r="AN318" s="177"/>
    </row>
    <row r="319" spans="1:49" ht="15.75" customHeight="1" thickTop="1" x14ac:dyDescent="0.45">
      <c r="A319" s="345"/>
      <c r="B319" s="278"/>
      <c r="C319" s="278"/>
      <c r="D319" s="279" t="s">
        <v>224</v>
      </c>
      <c r="E319" s="41">
        <f>$D$74</f>
        <v>100</v>
      </c>
      <c r="F319" s="71" t="s">
        <v>225</v>
      </c>
      <c r="G319" s="4" t="s">
        <v>275</v>
      </c>
      <c r="AM319" s="148"/>
      <c r="AN319" s="148"/>
    </row>
    <row r="320" spans="1:49" s="162" customFormat="1" ht="15" thickBot="1" x14ac:dyDescent="0.25">
      <c r="A320" s="346"/>
      <c r="B320" s="181"/>
      <c r="C320" s="182"/>
      <c r="D320" s="152"/>
      <c r="E320" s="151"/>
      <c r="F320" s="151"/>
      <c r="G320" s="151"/>
      <c r="H320" s="151"/>
      <c r="I320" s="183"/>
      <c r="J320" s="160"/>
      <c r="K320" s="163"/>
      <c r="L320" s="200"/>
      <c r="M320" s="294"/>
      <c r="N320" s="294"/>
      <c r="O320" s="294"/>
      <c r="P320" s="294"/>
      <c r="Q320" s="294"/>
      <c r="R320" s="294"/>
      <c r="S320" s="294"/>
      <c r="T320" s="294"/>
      <c r="U320" s="294"/>
      <c r="V320" s="294"/>
      <c r="W320" s="294"/>
      <c r="X320" s="294"/>
      <c r="Y320" s="216"/>
      <c r="Z320" s="216"/>
      <c r="AA320" s="216"/>
      <c r="AB320" s="216"/>
      <c r="AC320" s="216"/>
      <c r="AD320" s="216"/>
      <c r="AE320" s="177"/>
      <c r="AF320" s="177"/>
      <c r="AG320" s="177"/>
      <c r="AH320" s="177"/>
      <c r="AI320" s="177"/>
      <c r="AJ320" s="177"/>
      <c r="AK320" s="177"/>
      <c r="AL320" s="177"/>
      <c r="AM320"/>
      <c r="AN320"/>
      <c r="AO320" s="177"/>
      <c r="AP320" s="177"/>
      <c r="AQ320" s="177"/>
      <c r="AR320" s="177"/>
      <c r="AS320" s="177"/>
      <c r="AT320" s="177"/>
      <c r="AU320" s="177"/>
      <c r="AV320" s="177"/>
      <c r="AW320" s="177"/>
    </row>
    <row r="321" spans="1:49" s="145" customFormat="1" ht="24" customHeight="1" x14ac:dyDescent="0.45">
      <c r="A321" s="347"/>
      <c r="B321" s="142" t="s">
        <v>215</v>
      </c>
      <c r="C321" s="146"/>
      <c r="I321" s="241"/>
      <c r="J321" s="147"/>
      <c r="K321" s="358"/>
      <c r="L321" s="201"/>
      <c r="M321" s="303"/>
      <c r="N321" s="303"/>
      <c r="O321" s="303"/>
      <c r="P321" s="303"/>
      <c r="Q321" s="303"/>
      <c r="R321" s="303"/>
      <c r="S321" s="303"/>
      <c r="T321" s="303"/>
      <c r="U321" s="303"/>
      <c r="V321" s="303"/>
      <c r="W321" s="303"/>
      <c r="X321" s="303"/>
      <c r="Y321" s="217"/>
      <c r="Z321" s="217"/>
      <c r="AA321" s="217"/>
      <c r="AB321" s="217"/>
      <c r="AC321" s="217"/>
      <c r="AD321" s="217"/>
      <c r="AE321" s="148"/>
      <c r="AF321" s="148"/>
      <c r="AG321" s="148"/>
      <c r="AH321" s="148"/>
      <c r="AI321" s="148"/>
      <c r="AJ321" s="148"/>
      <c r="AK321" s="148"/>
      <c r="AL321" s="148"/>
      <c r="AM321"/>
      <c r="AN321"/>
      <c r="AO321" s="148"/>
      <c r="AP321" s="148"/>
      <c r="AQ321" s="148"/>
      <c r="AR321" s="148"/>
      <c r="AS321" s="148"/>
      <c r="AT321" s="148"/>
      <c r="AU321" s="148"/>
      <c r="AV321" s="148"/>
      <c r="AW321" s="148"/>
    </row>
    <row r="322" spans="1:49" ht="15" thickBot="1" x14ac:dyDescent="0.25">
      <c r="A322" s="339"/>
      <c r="B322" s="162"/>
      <c r="C322" s="176"/>
      <c r="D322" s="162"/>
      <c r="E322" s="162"/>
      <c r="F322" s="162"/>
      <c r="G322" s="162"/>
      <c r="H322" s="162"/>
      <c r="I322" s="185"/>
    </row>
    <row r="323" spans="1:49" ht="17.25" customHeight="1" thickTop="1" x14ac:dyDescent="0.2">
      <c r="A323" s="342"/>
      <c r="B323" s="184" t="s">
        <v>222</v>
      </c>
      <c r="C323" s="29"/>
      <c r="D323" s="17"/>
      <c r="E323" s="17"/>
      <c r="F323" s="17"/>
      <c r="G323" s="17"/>
      <c r="H323" s="17"/>
      <c r="I323" s="77"/>
      <c r="J323" s="392" t="s">
        <v>172</v>
      </c>
      <c r="K323" s="460"/>
    </row>
    <row r="324" spans="1:49" ht="14.25" x14ac:dyDescent="0.2">
      <c r="A324" s="339"/>
      <c r="B324" s="5"/>
      <c r="C324" s="29"/>
      <c r="D324" s="5"/>
      <c r="E324" s="5"/>
      <c r="F324" s="5"/>
      <c r="G324" s="5"/>
      <c r="H324" s="5"/>
      <c r="I324" s="79"/>
      <c r="J324" s="394"/>
      <c r="K324" s="461"/>
    </row>
    <row r="325" spans="1:49" ht="14.25" x14ac:dyDescent="0.2">
      <c r="A325" s="339"/>
      <c r="B325" s="5"/>
      <c r="C325" s="29"/>
      <c r="D325" s="5"/>
      <c r="E325" s="5"/>
      <c r="F325" s="5"/>
      <c r="G325" s="5"/>
      <c r="H325" s="5"/>
      <c r="I325" s="79"/>
      <c r="J325" s="394"/>
      <c r="K325" s="461"/>
    </row>
    <row r="326" spans="1:49" ht="14.25" x14ac:dyDescent="0.2">
      <c r="A326" s="339"/>
      <c r="B326" s="5"/>
      <c r="C326" s="29"/>
      <c r="D326" s="5"/>
      <c r="E326" s="5"/>
      <c r="F326" s="5"/>
      <c r="G326" s="5"/>
      <c r="H326" s="5"/>
      <c r="I326" s="79"/>
      <c r="J326" s="394"/>
      <c r="K326" s="461"/>
    </row>
    <row r="327" spans="1:49" ht="14.25" customHeight="1" x14ac:dyDescent="0.2">
      <c r="A327" s="339"/>
      <c r="B327" s="5"/>
      <c r="C327" s="29"/>
      <c r="D327" s="5"/>
      <c r="E327" s="5"/>
      <c r="F327" s="5"/>
      <c r="G327" s="5"/>
      <c r="H327" s="5"/>
      <c r="I327" s="79"/>
      <c r="J327" s="394"/>
      <c r="K327" s="461"/>
    </row>
    <row r="328" spans="1:49" ht="14.25" x14ac:dyDescent="0.2">
      <c r="A328" s="339"/>
      <c r="B328" s="5"/>
      <c r="C328" s="29"/>
      <c r="D328" s="5"/>
      <c r="E328" s="5"/>
      <c r="F328" s="5"/>
      <c r="G328" s="5"/>
      <c r="H328" s="5"/>
      <c r="I328" s="79"/>
      <c r="J328" s="195"/>
      <c r="K328" s="357"/>
    </row>
    <row r="329" spans="1:49" ht="14.25" customHeight="1" x14ac:dyDescent="0.2">
      <c r="A329" s="339"/>
      <c r="B329" s="5"/>
      <c r="C329" s="29"/>
      <c r="D329" s="5"/>
      <c r="E329" s="5"/>
      <c r="F329" s="5"/>
      <c r="G329" s="5"/>
      <c r="H329" s="5"/>
      <c r="I329" s="79"/>
      <c r="J329" s="392" t="s">
        <v>226</v>
      </c>
      <c r="K329" s="393"/>
    </row>
    <row r="330" spans="1:49" ht="14.25" x14ac:dyDescent="0.2">
      <c r="A330" s="339"/>
      <c r="B330" s="5"/>
      <c r="C330" s="29"/>
      <c r="D330" s="5"/>
      <c r="E330" s="5"/>
      <c r="F330" s="5"/>
      <c r="G330" s="5"/>
      <c r="H330" s="5"/>
      <c r="I330" s="79"/>
      <c r="J330" s="394"/>
      <c r="K330" s="395"/>
    </row>
    <row r="331" spans="1:49" ht="14.25" x14ac:dyDescent="0.2">
      <c r="A331" s="339"/>
      <c r="B331" s="5"/>
      <c r="C331" s="29"/>
      <c r="D331" s="5"/>
      <c r="E331" s="5"/>
      <c r="F331" s="5"/>
      <c r="G331" s="5"/>
      <c r="H331" s="5"/>
      <c r="I331" s="79"/>
      <c r="J331" s="394"/>
      <c r="K331" s="395"/>
    </row>
    <row r="332" spans="1:49" ht="14.25" x14ac:dyDescent="0.2">
      <c r="A332" s="339"/>
      <c r="B332" s="5"/>
      <c r="C332" s="29"/>
      <c r="D332" s="5"/>
      <c r="E332" s="5"/>
      <c r="F332" s="5"/>
      <c r="G332" s="5"/>
      <c r="H332" s="5"/>
      <c r="I332" s="79"/>
      <c r="J332" s="396"/>
      <c r="K332" s="397"/>
    </row>
    <row r="333" spans="1:49" ht="14.25" customHeight="1" x14ac:dyDescent="0.2">
      <c r="A333" s="343"/>
      <c r="B333" s="5"/>
      <c r="C333" s="29"/>
      <c r="D333" s="5"/>
      <c r="E333" s="5"/>
      <c r="F333" s="5"/>
      <c r="G333" s="5"/>
      <c r="H333" s="5"/>
      <c r="I333" s="79"/>
      <c r="J333" s="414" t="s">
        <v>137</v>
      </c>
      <c r="K333" s="470"/>
    </row>
    <row r="334" spans="1:49" ht="14.25" customHeight="1" x14ac:dyDescent="0.2">
      <c r="A334" s="343"/>
      <c r="B334" s="5"/>
      <c r="C334" s="29"/>
      <c r="D334" s="5"/>
      <c r="E334" s="5"/>
      <c r="F334" s="5"/>
      <c r="G334" s="5"/>
      <c r="H334" s="5"/>
      <c r="I334" s="79"/>
      <c r="J334" s="414"/>
      <c r="K334" s="470"/>
    </row>
    <row r="335" spans="1:49" ht="14.25" x14ac:dyDescent="0.2">
      <c r="A335" s="343"/>
      <c r="B335" s="5"/>
      <c r="C335" s="29"/>
      <c r="D335" s="5"/>
      <c r="E335" s="5"/>
      <c r="F335" s="5"/>
      <c r="G335" s="5"/>
      <c r="H335" s="5"/>
      <c r="I335" s="79"/>
      <c r="J335" s="414"/>
      <c r="K335" s="470"/>
    </row>
    <row r="336" spans="1:49" ht="14.25" x14ac:dyDescent="0.2">
      <c r="A336" s="343"/>
      <c r="B336" s="5"/>
      <c r="C336" s="29"/>
      <c r="D336" s="5"/>
      <c r="E336" s="5"/>
      <c r="F336" s="5"/>
      <c r="G336" s="5"/>
      <c r="H336" s="5"/>
      <c r="I336" s="79"/>
      <c r="J336" s="416"/>
      <c r="K336" s="471"/>
    </row>
    <row r="337" spans="1:12" ht="14.25" customHeight="1" x14ac:dyDescent="0.2">
      <c r="A337" s="343"/>
      <c r="B337" s="5"/>
      <c r="C337" s="29"/>
      <c r="D337" s="5"/>
      <c r="E337" s="5"/>
      <c r="F337" s="5"/>
      <c r="G337" s="5"/>
      <c r="H337" s="5"/>
      <c r="I337" s="79"/>
      <c r="J337" s="392" t="s">
        <v>180</v>
      </c>
      <c r="K337" s="460"/>
    </row>
    <row r="338" spans="1:12" ht="14.25" x14ac:dyDescent="0.2">
      <c r="A338" s="343"/>
      <c r="B338" s="5"/>
      <c r="C338" s="29"/>
      <c r="D338" s="5"/>
      <c r="E338" s="5"/>
      <c r="F338" s="5"/>
      <c r="G338" s="5"/>
      <c r="H338" s="5"/>
      <c r="I338" s="79"/>
      <c r="J338" s="394"/>
      <c r="K338" s="461"/>
    </row>
    <row r="339" spans="1:12" ht="14.25" x14ac:dyDescent="0.2">
      <c r="A339" s="343"/>
      <c r="B339" s="5"/>
      <c r="C339" s="29"/>
      <c r="D339" s="5"/>
      <c r="E339" s="5"/>
      <c r="F339" s="5"/>
      <c r="G339" s="5"/>
      <c r="H339" s="5"/>
      <c r="I339" s="79"/>
      <c r="J339" s="394"/>
      <c r="K339" s="461"/>
    </row>
    <row r="340" spans="1:12" ht="14.25" x14ac:dyDescent="0.2">
      <c r="A340" s="343"/>
      <c r="B340" s="5"/>
      <c r="C340" s="29"/>
      <c r="D340" s="5"/>
      <c r="E340" s="5"/>
      <c r="F340" s="5"/>
      <c r="G340" s="5"/>
      <c r="H340" s="5"/>
      <c r="I340" s="79"/>
      <c r="J340" s="396"/>
      <c r="K340" s="462"/>
    </row>
    <row r="341" spans="1:12" ht="14.25" x14ac:dyDescent="0.2">
      <c r="A341" s="343"/>
      <c r="B341" s="5"/>
      <c r="C341" s="29"/>
      <c r="D341" s="5"/>
      <c r="E341" s="5"/>
      <c r="F341" s="5"/>
      <c r="G341" s="5"/>
      <c r="H341" s="5"/>
      <c r="I341" s="79"/>
      <c r="J341" s="392" t="s">
        <v>181</v>
      </c>
      <c r="K341" s="460"/>
    </row>
    <row r="342" spans="1:12" ht="15.75" x14ac:dyDescent="0.3">
      <c r="A342" s="342"/>
      <c r="B342" s="5"/>
      <c r="C342" s="446" t="s">
        <v>124</v>
      </c>
      <c r="D342" s="446"/>
      <c r="E342" s="29">
        <f ca="1">MAX(ABS(SUM('PILECAP WKST'!S5:S29)),ABS(SUM('PILECAP WKST'!T5:T29)))</f>
        <v>2680.0000000000005</v>
      </c>
      <c r="F342" s="17" t="s">
        <v>24</v>
      </c>
      <c r="G342" s="19"/>
      <c r="H342" s="19"/>
      <c r="I342" s="77"/>
      <c r="J342" s="394"/>
      <c r="K342" s="461"/>
      <c r="L342" s="199"/>
    </row>
    <row r="343" spans="1:12" ht="15.75" customHeight="1" x14ac:dyDescent="0.3">
      <c r="A343" s="342"/>
      <c r="B343" s="5"/>
      <c r="C343" s="446" t="s">
        <v>132</v>
      </c>
      <c r="D343" s="446"/>
      <c r="E343" s="41">
        <f ca="1">E342/E400*12</f>
        <v>3783.5294117647068</v>
      </c>
      <c r="F343" s="17" t="s">
        <v>25</v>
      </c>
      <c r="G343" s="19"/>
      <c r="H343" s="19"/>
      <c r="I343" s="77"/>
      <c r="J343" s="394"/>
      <c r="K343" s="461"/>
    </row>
    <row r="344" spans="1:12" ht="14.25" x14ac:dyDescent="0.2">
      <c r="A344" s="342"/>
      <c r="B344" s="5"/>
      <c r="C344" s="37"/>
      <c r="D344" s="37" t="s">
        <v>80</v>
      </c>
      <c r="E344" s="41">
        <f>E27-E31-VLOOKUP(F353,'PILECAP WKST'!A80:C89,3,FALSE)-VLOOKUP(F387,'PILECAP WKST'!A80:C89,3,FALSE)</f>
        <v>47.122</v>
      </c>
      <c r="F344" s="17" t="s">
        <v>21</v>
      </c>
      <c r="G344" s="456" t="s">
        <v>133</v>
      </c>
      <c r="H344" s="456"/>
      <c r="I344" s="457"/>
      <c r="J344" s="396"/>
      <c r="K344" s="462"/>
    </row>
    <row r="345" spans="1:12" ht="14.25" x14ac:dyDescent="0.2">
      <c r="A345" s="342"/>
      <c r="B345" s="5"/>
      <c r="C345" s="37"/>
      <c r="D345" s="37"/>
      <c r="E345" s="41"/>
      <c r="F345" s="17"/>
      <c r="G345" s="456"/>
      <c r="H345" s="456"/>
      <c r="I345" s="457"/>
      <c r="J345" s="398" t="s">
        <v>182</v>
      </c>
      <c r="K345" s="399"/>
    </row>
    <row r="346" spans="1:12" ht="15.75" customHeight="1" x14ac:dyDescent="0.3">
      <c r="B346" s="5"/>
      <c r="C346" s="446" t="s">
        <v>134</v>
      </c>
      <c r="D346" s="446"/>
      <c r="E346" s="43">
        <f ca="1">VLOOKUP(FC,'PILECAP WKST'!$A$124:$C$127,2,FALSE)*$E$344*(1-SQRT(1-VLOOKUP(FC,'PILECAP WKST'!$A$124:$C$127,3,FALSE)*E343/$E$344/$E$344))</f>
        <v>1.5355040501463406</v>
      </c>
      <c r="F346" s="17" t="s">
        <v>277</v>
      </c>
      <c r="G346" s="364">
        <f ca="1">E346*$E$400</f>
        <v>13.051784426243895</v>
      </c>
      <c r="H346" s="19" t="s">
        <v>153</v>
      </c>
      <c r="I346" s="280"/>
      <c r="J346" s="400"/>
      <c r="K346" s="401"/>
    </row>
    <row r="347" spans="1:12" ht="15.75" x14ac:dyDescent="0.3">
      <c r="A347" s="342"/>
      <c r="B347" s="5"/>
      <c r="C347" s="18"/>
      <c r="D347" s="18" t="s">
        <v>167</v>
      </c>
      <c r="E347" s="43">
        <f ca="1">E346*4/3</f>
        <v>2.0473387335284543</v>
      </c>
      <c r="F347" s="17" t="s">
        <v>278</v>
      </c>
      <c r="G347" s="364">
        <f ca="1">E347*$E$400</f>
        <v>17.402379234991862</v>
      </c>
      <c r="H347" s="19" t="s">
        <v>153</v>
      </c>
      <c r="I347" s="250"/>
      <c r="J347" s="400"/>
      <c r="K347" s="401"/>
    </row>
    <row r="348" spans="1:12" ht="14.25" x14ac:dyDescent="0.2">
      <c r="A348" s="342"/>
      <c r="B348" s="72"/>
      <c r="C348" s="75"/>
      <c r="D348" s="75" t="s">
        <v>178</v>
      </c>
      <c r="E348" s="43">
        <f>0.0033*12*E344</f>
        <v>1.8660311999999999</v>
      </c>
      <c r="F348" s="68" t="s">
        <v>278</v>
      </c>
      <c r="G348" s="364">
        <f ca="1">E348*$E$400</f>
        <v>15.861265199999998</v>
      </c>
      <c r="H348" s="68" t="s">
        <v>153</v>
      </c>
      <c r="I348" s="77"/>
      <c r="J348" s="402"/>
      <c r="K348" s="403"/>
    </row>
    <row r="349" spans="1:12" ht="14.25" x14ac:dyDescent="0.2">
      <c r="A349" s="342"/>
      <c r="B349" s="5"/>
      <c r="C349" s="81"/>
      <c r="D349" s="81" t="s">
        <v>177</v>
      </c>
      <c r="E349" s="82">
        <f>0.0018*12*$E$27</f>
        <v>1.2312000000000001</v>
      </c>
      <c r="F349" s="83" t="s">
        <v>278</v>
      </c>
      <c r="G349" s="365">
        <f ca="1">E349*$E$400</f>
        <v>10.465200000000001</v>
      </c>
      <c r="H349" s="83" t="s">
        <v>153</v>
      </c>
      <c r="I349" s="77"/>
      <c r="J349" s="76"/>
      <c r="K349" s="353"/>
    </row>
    <row r="350" spans="1:12" ht="15.75" customHeight="1" x14ac:dyDescent="0.3">
      <c r="A350" s="342"/>
      <c r="B350" s="5"/>
      <c r="C350" s="18"/>
      <c r="D350" s="18" t="s">
        <v>136</v>
      </c>
      <c r="E350" s="44">
        <f ca="1">IF(E346&gt;=E348,E346,IF(E347&gt;=E348,E348,IF(E347&gt;=E349,E347,E349)))</f>
        <v>1.8660311999999999</v>
      </c>
      <c r="F350" s="17" t="s">
        <v>277</v>
      </c>
      <c r="G350" s="364">
        <f ca="1">E350*$E$400</f>
        <v>15.861265199999998</v>
      </c>
      <c r="H350" s="68" t="s">
        <v>153</v>
      </c>
      <c r="I350" s="77"/>
      <c r="J350" s="411" t="s">
        <v>307</v>
      </c>
      <c r="K350" s="411"/>
    </row>
    <row r="351" spans="1:12" ht="15" x14ac:dyDescent="0.25">
      <c r="A351" s="342"/>
      <c r="B351" s="5"/>
      <c r="C351" s="54"/>
      <c r="D351" s="54"/>
      <c r="E351" s="44"/>
      <c r="F351" s="19"/>
      <c r="G351" s="19"/>
      <c r="H351" s="19"/>
      <c r="I351" s="250"/>
      <c r="J351" s="411"/>
      <c r="K351" s="411"/>
    </row>
    <row r="352" spans="1:12" x14ac:dyDescent="0.2">
      <c r="A352" s="342"/>
      <c r="B352" s="5"/>
      <c r="C352" s="55"/>
      <c r="D352" s="313" t="s">
        <v>143</v>
      </c>
      <c r="E352" s="5"/>
      <c r="F352" s="69"/>
      <c r="G352" s="69"/>
      <c r="H352" s="19"/>
      <c r="I352" s="80"/>
      <c r="J352" s="318"/>
      <c r="K352" s="353"/>
    </row>
    <row r="353" spans="1:11" ht="14.25" customHeight="1" x14ac:dyDescent="0.2">
      <c r="A353" s="342"/>
      <c r="B353" s="5"/>
      <c r="C353" s="55"/>
      <c r="D353" s="55" t="s">
        <v>176</v>
      </c>
      <c r="E353" s="11"/>
      <c r="F353" s="128" t="s">
        <v>34</v>
      </c>
      <c r="G353" s="69" t="s">
        <v>169</v>
      </c>
      <c r="H353" s="11">
        <v>6</v>
      </c>
      <c r="I353" s="80" t="s">
        <v>21</v>
      </c>
      <c r="J353" s="76"/>
      <c r="K353" s="353"/>
    </row>
    <row r="354" spans="1:11" ht="14.25" customHeight="1" x14ac:dyDescent="0.3">
      <c r="A354" s="342"/>
      <c r="B354" s="5"/>
      <c r="C354" s="438" t="s">
        <v>87</v>
      </c>
      <c r="D354" s="438"/>
      <c r="E354" s="29">
        <f ca="1">IF(E353&gt;0,E353,ROUNDDOWN(($E$400*12-2*$E$38)/H353,0)+1)*VLOOKUP(F353,'PILECAP WKST'!$A$80:$C$89,2,FALSE)</f>
        <v>17</v>
      </c>
      <c r="F354" s="310" t="s">
        <v>153</v>
      </c>
      <c r="G354" s="283"/>
      <c r="H354" s="284"/>
      <c r="I354" s="285"/>
      <c r="J354" s="411" t="s">
        <v>306</v>
      </c>
      <c r="K354" s="411"/>
    </row>
    <row r="355" spans="1:11" ht="14.25" x14ac:dyDescent="0.2">
      <c r="A355" s="342"/>
      <c r="B355" s="5"/>
      <c r="C355" s="38"/>
      <c r="D355" s="38"/>
      <c r="E355" s="43">
        <f ca="1">E354/E400</f>
        <v>2</v>
      </c>
      <c r="F355" s="19" t="s">
        <v>152</v>
      </c>
      <c r="G355" s="283" t="str">
        <f ca="1">IF(E350&lt;=E355,"OK","NG")</f>
        <v>OK</v>
      </c>
      <c r="H355" s="284"/>
      <c r="I355" s="285"/>
      <c r="J355" s="411"/>
      <c r="K355" s="411"/>
    </row>
    <row r="356" spans="1:11" ht="15" customHeight="1" x14ac:dyDescent="0.2">
      <c r="A356" s="342"/>
      <c r="B356" s="5"/>
      <c r="C356" s="34"/>
      <c r="D356" s="51" t="s">
        <v>138</v>
      </c>
      <c r="E356" s="42">
        <f ca="1">E354/E151/12</f>
        <v>2.9513888888888892E-2</v>
      </c>
      <c r="F356" s="19"/>
      <c r="G356" s="283"/>
      <c r="H356" s="19"/>
      <c r="I356" s="250"/>
      <c r="J356" s="411"/>
      <c r="K356" s="411"/>
    </row>
    <row r="357" spans="1:11" ht="14.25" customHeight="1" x14ac:dyDescent="0.2">
      <c r="A357" s="342"/>
      <c r="B357" s="5"/>
      <c r="C357" s="448" t="s">
        <v>88</v>
      </c>
      <c r="D357" s="448"/>
      <c r="E357" s="45">
        <f>IF(E353&gt;0,($E$400*12-2*$E$38)/(E353-1),H353)</f>
        <v>6</v>
      </c>
      <c r="F357" s="261" t="s">
        <v>21</v>
      </c>
      <c r="G357" s="286"/>
      <c r="H357" s="19"/>
      <c r="I357" s="250"/>
      <c r="J357" s="76"/>
      <c r="K357" s="353"/>
    </row>
    <row r="358" spans="1:11" ht="15.75" customHeight="1" thickBot="1" x14ac:dyDescent="0.25">
      <c r="A358" s="342"/>
      <c r="B358" s="162"/>
      <c r="C358" s="447" t="s">
        <v>89</v>
      </c>
      <c r="D358" s="447"/>
      <c r="E358" s="176">
        <f>MIN(3*E151,18)</f>
        <v>18</v>
      </c>
      <c r="F358" s="287" t="s">
        <v>21</v>
      </c>
      <c r="G358" s="288" t="str">
        <f>IF(E357&lt;=E358,"OK","NG")</f>
        <v>OK</v>
      </c>
      <c r="H358" s="289"/>
      <c r="I358" s="290"/>
      <c r="J358" s="76"/>
      <c r="K358" s="353"/>
    </row>
    <row r="359" spans="1:11" ht="15" thickTop="1" x14ac:dyDescent="0.2">
      <c r="A359" s="342"/>
      <c r="B359" s="184" t="s">
        <v>223</v>
      </c>
      <c r="C359" s="29"/>
      <c r="D359" s="17"/>
      <c r="E359" s="17"/>
      <c r="F359" s="17"/>
      <c r="G359" s="17"/>
      <c r="H359" s="17"/>
      <c r="I359" s="77"/>
    </row>
    <row r="360" spans="1:11" ht="14.25" x14ac:dyDescent="0.2">
      <c r="A360" s="339"/>
      <c r="C360" s="29"/>
      <c r="J360" s="404" t="s">
        <v>295</v>
      </c>
      <c r="K360" s="405"/>
    </row>
    <row r="361" spans="1:11" ht="14.25" x14ac:dyDescent="0.2">
      <c r="A361" s="339"/>
      <c r="C361" s="29"/>
      <c r="J361" s="406"/>
      <c r="K361" s="407"/>
    </row>
    <row r="362" spans="1:11" ht="14.25" x14ac:dyDescent="0.2">
      <c r="A362" s="339"/>
      <c r="C362" s="29"/>
      <c r="J362" s="406"/>
      <c r="K362" s="407"/>
    </row>
    <row r="363" spans="1:11" ht="14.25" x14ac:dyDescent="0.2">
      <c r="A363" s="339"/>
      <c r="C363" s="29"/>
      <c r="J363" s="408"/>
      <c r="K363" s="407"/>
    </row>
    <row r="364" spans="1:11" ht="14.25" x14ac:dyDescent="0.2">
      <c r="A364" s="339"/>
      <c r="C364" s="29"/>
      <c r="J364" s="409"/>
      <c r="K364" s="410"/>
    </row>
    <row r="365" spans="1:11" ht="14.25" x14ac:dyDescent="0.2">
      <c r="A365" s="339"/>
      <c r="C365" s="29"/>
      <c r="J365" s="84"/>
      <c r="K365" s="359"/>
    </row>
    <row r="366" spans="1:11" ht="14.25" x14ac:dyDescent="0.2">
      <c r="A366" s="339"/>
      <c r="C366" s="29"/>
      <c r="J366"/>
      <c r="K366" s="352"/>
    </row>
    <row r="367" spans="1:11" ht="14.25" customHeight="1" x14ac:dyDescent="0.2">
      <c r="A367" s="339"/>
      <c r="C367" s="29"/>
      <c r="J367"/>
      <c r="K367" s="352"/>
    </row>
    <row r="368" spans="1:11" ht="14.25" x14ac:dyDescent="0.2">
      <c r="A368" s="339"/>
      <c r="C368" s="29"/>
      <c r="J368"/>
      <c r="K368" s="352"/>
    </row>
    <row r="369" spans="1:11" ht="14.25" x14ac:dyDescent="0.2">
      <c r="A369" s="339"/>
      <c r="C369" s="29"/>
      <c r="J369"/>
      <c r="K369" s="352"/>
    </row>
    <row r="370" spans="1:11" ht="14.25" x14ac:dyDescent="0.2">
      <c r="A370" s="339"/>
      <c r="C370" s="29"/>
      <c r="J370"/>
      <c r="K370" s="352"/>
    </row>
    <row r="371" spans="1:11" ht="14.25" x14ac:dyDescent="0.2">
      <c r="A371" s="339"/>
      <c r="C371" s="29"/>
      <c r="J371"/>
      <c r="K371" s="352"/>
    </row>
    <row r="372" spans="1:11" ht="14.25" x14ac:dyDescent="0.2">
      <c r="A372" s="339"/>
      <c r="C372" s="29"/>
      <c r="J372"/>
      <c r="K372" s="352"/>
    </row>
    <row r="373" spans="1:11" ht="14.25" x14ac:dyDescent="0.2">
      <c r="A373" s="339"/>
      <c r="C373" s="29"/>
      <c r="J373"/>
      <c r="K373" s="352"/>
    </row>
    <row r="374" spans="1:11" ht="14.25" x14ac:dyDescent="0.2">
      <c r="A374" s="339"/>
      <c r="C374" s="29"/>
      <c r="J374"/>
      <c r="K374" s="352"/>
    </row>
    <row r="375" spans="1:11" ht="14.25" x14ac:dyDescent="0.2">
      <c r="A375" s="339"/>
      <c r="C375" s="29"/>
      <c r="J375"/>
      <c r="K375" s="352"/>
    </row>
    <row r="376" spans="1:11" ht="14.25" x14ac:dyDescent="0.2">
      <c r="A376" s="339"/>
      <c r="C376" s="29"/>
      <c r="J376"/>
      <c r="K376" s="352"/>
    </row>
    <row r="377" spans="1:11" ht="15.75" x14ac:dyDescent="0.3">
      <c r="A377" s="342"/>
      <c r="B377" s="5"/>
      <c r="C377" s="446" t="s">
        <v>124</v>
      </c>
      <c r="D377" s="446"/>
      <c r="E377" s="29">
        <f ca="1">MAX(ABS(SUM('PILECAP WKST'!U5:U29)),ABS(SUM('PILECAP WKST'!V5:V29)))</f>
        <v>1786.6666666666665</v>
      </c>
      <c r="F377" s="17" t="s">
        <v>24</v>
      </c>
      <c r="G377" s="19"/>
      <c r="H377" s="19"/>
      <c r="I377" s="250"/>
      <c r="J377"/>
      <c r="K377" s="352"/>
    </row>
    <row r="378" spans="1:11" ht="26.25" x14ac:dyDescent="0.3">
      <c r="A378" s="342"/>
      <c r="B378" s="5"/>
      <c r="C378" s="446" t="s">
        <v>132</v>
      </c>
      <c r="D378" s="446"/>
      <c r="E378" s="189">
        <f ca="1">E377/E399*12</f>
        <v>1864.3478260869563</v>
      </c>
      <c r="F378" s="17" t="s">
        <v>25</v>
      </c>
      <c r="G378" s="19"/>
      <c r="H378" s="19"/>
      <c r="I378" s="281" t="s">
        <v>227</v>
      </c>
      <c r="J378"/>
      <c r="K378" s="352"/>
    </row>
    <row r="379" spans="1:11" ht="15.75" x14ac:dyDescent="0.3">
      <c r="A379" s="342"/>
      <c r="B379" s="72"/>
      <c r="D379" s="75" t="s">
        <v>134</v>
      </c>
      <c r="E379" s="43">
        <f ca="1">VLOOKUP(FC,'PILECAP WKST'!$A$124:$C$127,2,FALSE)*$E$344*(1-SQRT(1-VLOOKUP(FC,'PILECAP WKST'!$A$124:$C$127,3,FALSE)*E378/$E$344/$E$344))</f>
        <v>0.743969026645103</v>
      </c>
      <c r="F379" s="68" t="s">
        <v>152</v>
      </c>
      <c r="G379" s="364">
        <f t="shared" ref="G379:G384" ca="1" si="1">E379*$E$399</f>
        <v>8.5556438064186846</v>
      </c>
      <c r="H379" s="68" t="s">
        <v>153</v>
      </c>
      <c r="I379" s="250">
        <f ca="1">E399/E400</f>
        <v>1.3529411764705883</v>
      </c>
      <c r="J379"/>
      <c r="K379" s="352"/>
    </row>
    <row r="380" spans="1:11" ht="14.25" x14ac:dyDescent="0.2">
      <c r="A380" s="342"/>
      <c r="B380" s="5"/>
      <c r="D380" s="18" t="s">
        <v>175</v>
      </c>
      <c r="E380" s="43">
        <f ca="1">E379*(2*I379)/(1+I379)</f>
        <v>0.85556438064186857</v>
      </c>
      <c r="F380" s="68" t="s">
        <v>152</v>
      </c>
      <c r="G380" s="364">
        <f t="shared" ca="1" si="1"/>
        <v>9.8389903773814886</v>
      </c>
      <c r="H380" s="68" t="s">
        <v>153</v>
      </c>
      <c r="I380" s="282"/>
      <c r="J380"/>
      <c r="K380" s="352"/>
    </row>
    <row r="381" spans="1:11" ht="15.75" x14ac:dyDescent="0.3">
      <c r="A381" s="342"/>
      <c r="B381" s="5"/>
      <c r="C381" s="50"/>
      <c r="D381" s="50" t="s">
        <v>135</v>
      </c>
      <c r="E381" s="43">
        <f ca="1">E379*4/3</f>
        <v>0.99195870219347071</v>
      </c>
      <c r="F381" s="17" t="s">
        <v>152</v>
      </c>
      <c r="G381" s="364">
        <f t="shared" ca="1" si="1"/>
        <v>11.407525075224914</v>
      </c>
      <c r="H381" s="68" t="s">
        <v>153</v>
      </c>
      <c r="I381" s="250"/>
      <c r="J381"/>
      <c r="K381" s="352"/>
    </row>
    <row r="382" spans="1:11" ht="14.25" x14ac:dyDescent="0.2">
      <c r="A382" s="342"/>
      <c r="B382" s="72"/>
      <c r="C382" s="75"/>
      <c r="D382" s="75" t="s">
        <v>178</v>
      </c>
      <c r="E382" s="43">
        <f>0.0033*12*$E$344</f>
        <v>1.8660311999999999</v>
      </c>
      <c r="F382" s="68" t="s">
        <v>152</v>
      </c>
      <c r="G382" s="364">
        <f t="shared" ca="1" si="1"/>
        <v>21.4593588</v>
      </c>
      <c r="H382" s="68" t="s">
        <v>153</v>
      </c>
      <c r="I382" s="77"/>
      <c r="J382"/>
      <c r="K382" s="352"/>
    </row>
    <row r="383" spans="1:11" ht="14.25" x14ac:dyDescent="0.2">
      <c r="A383" s="342"/>
      <c r="B383" s="5"/>
      <c r="C383" s="81"/>
      <c r="D383" s="81" t="s">
        <v>177</v>
      </c>
      <c r="E383" s="82">
        <f>0.0018*12*$E$27</f>
        <v>1.2312000000000001</v>
      </c>
      <c r="F383" s="83" t="s">
        <v>152</v>
      </c>
      <c r="G383" s="365">
        <f t="shared" ca="1" si="1"/>
        <v>14.158800000000001</v>
      </c>
      <c r="H383" s="83" t="s">
        <v>153</v>
      </c>
      <c r="I383" s="77"/>
      <c r="J383"/>
      <c r="K383" s="352"/>
    </row>
    <row r="384" spans="1:11" ht="15.75" x14ac:dyDescent="0.3">
      <c r="A384" s="342"/>
      <c r="B384" s="5"/>
      <c r="C384" s="66"/>
      <c r="D384" s="50" t="s">
        <v>136</v>
      </c>
      <c r="E384" s="44">
        <f ca="1">IF(E379&gt;=E382,E379,IF(MAX(E380,E381)&gt;=E382,MAX(E380,E381), IF(MAX(E380,E381)&gt;=E383,MAX(E380,E381),E383)))</f>
        <v>1.2312000000000001</v>
      </c>
      <c r="F384" s="17" t="s">
        <v>152</v>
      </c>
      <c r="G384" s="364">
        <f t="shared" ca="1" si="1"/>
        <v>14.158800000000001</v>
      </c>
      <c r="H384" s="68" t="s">
        <v>153</v>
      </c>
      <c r="I384" s="77"/>
      <c r="J384"/>
      <c r="K384" s="352"/>
    </row>
    <row r="385" spans="1:11" ht="15" customHeight="1" x14ac:dyDescent="0.25">
      <c r="A385" s="342"/>
      <c r="B385" s="5"/>
      <c r="C385" s="54"/>
      <c r="D385" s="54"/>
      <c r="E385" s="44"/>
      <c r="F385" s="17"/>
      <c r="G385" s="17"/>
      <c r="H385" s="17"/>
      <c r="I385" s="250"/>
      <c r="J385"/>
      <c r="K385" s="352"/>
    </row>
    <row r="386" spans="1:11" x14ac:dyDescent="0.2">
      <c r="A386" s="342"/>
      <c r="B386" s="5"/>
      <c r="C386" s="313" t="s">
        <v>143</v>
      </c>
      <c r="E386" s="5"/>
      <c r="I386" s="80"/>
      <c r="J386"/>
      <c r="K386" s="352"/>
    </row>
    <row r="387" spans="1:11" x14ac:dyDescent="0.2">
      <c r="A387" s="342"/>
      <c r="B387" s="5"/>
      <c r="C387" s="455" t="s">
        <v>176</v>
      </c>
      <c r="D387" s="455"/>
      <c r="E387" s="11"/>
      <c r="F387" s="128" t="s">
        <v>31</v>
      </c>
      <c r="G387" s="71" t="s">
        <v>169</v>
      </c>
      <c r="H387" s="11">
        <v>4</v>
      </c>
      <c r="I387" s="80" t="s">
        <v>21</v>
      </c>
      <c r="J387"/>
      <c r="K387" s="352"/>
    </row>
    <row r="388" spans="1:11" ht="15.75" customHeight="1" x14ac:dyDescent="0.3">
      <c r="A388" s="342"/>
      <c r="B388" s="5"/>
      <c r="C388" s="438" t="s">
        <v>87</v>
      </c>
      <c r="D388" s="438"/>
      <c r="E388" s="29">
        <f ca="1">IF(E387&gt;0,E387,ROUNDDOWN(($E$399*12-2*$E$38)/H387,0)+1)*VLOOKUP(F387,'PILECAP WKST'!$A$80:$C$89,2,FALSE)</f>
        <v>14.96</v>
      </c>
      <c r="F388" s="19" t="s">
        <v>153</v>
      </c>
      <c r="G388" s="19"/>
      <c r="H388" s="284"/>
      <c r="I388" s="285"/>
      <c r="J388"/>
      <c r="K388" s="352"/>
    </row>
    <row r="389" spans="1:11" ht="14.25" customHeight="1" x14ac:dyDescent="0.2">
      <c r="A389" s="342"/>
      <c r="B389" s="5"/>
      <c r="C389" s="51"/>
      <c r="D389" s="51"/>
      <c r="E389" s="43">
        <f ca="1">E388/E399</f>
        <v>1.3008695652173914</v>
      </c>
      <c r="F389" s="19" t="s">
        <v>152</v>
      </c>
      <c r="G389" s="283" t="str">
        <f ca="1">IF(E384&lt;=E389,"OK","NG")</f>
        <v>OK</v>
      </c>
      <c r="H389" s="284"/>
      <c r="I389" s="285"/>
      <c r="J389"/>
      <c r="K389" s="352"/>
    </row>
    <row r="390" spans="1:11" ht="14.25" x14ac:dyDescent="0.2">
      <c r="A390" s="342"/>
      <c r="B390" s="5"/>
      <c r="C390" s="51"/>
      <c r="D390" s="51" t="s">
        <v>138</v>
      </c>
      <c r="E390" s="42">
        <f ca="1">E388/E151/12</f>
        <v>2.5972222222222226E-2</v>
      </c>
      <c r="F390" s="19"/>
      <c r="G390" s="283"/>
      <c r="H390" s="19"/>
      <c r="I390" s="250"/>
      <c r="J390"/>
      <c r="K390" s="352"/>
    </row>
    <row r="391" spans="1:11" ht="14.25" x14ac:dyDescent="0.2">
      <c r="A391" s="342"/>
      <c r="B391" s="5"/>
      <c r="C391" s="448" t="s">
        <v>88</v>
      </c>
      <c r="D391" s="448"/>
      <c r="E391" s="45">
        <f>IF(E387&gt;0,($E$399*12-2*$E$38)/(E387-1),H387)</f>
        <v>4</v>
      </c>
      <c r="F391" s="261" t="s">
        <v>21</v>
      </c>
      <c r="G391" s="286"/>
      <c r="H391" s="19"/>
      <c r="I391" s="250"/>
      <c r="J391"/>
      <c r="K391" s="352"/>
    </row>
    <row r="392" spans="1:11" ht="14.25" customHeight="1" x14ac:dyDescent="0.2">
      <c r="A392" s="342"/>
      <c r="B392" s="5"/>
      <c r="C392" s="448" t="s">
        <v>89</v>
      </c>
      <c r="D392" s="448"/>
      <c r="E392" s="29">
        <f>MIN(3*E151,18)</f>
        <v>18</v>
      </c>
      <c r="F392" s="261" t="s">
        <v>21</v>
      </c>
      <c r="G392" s="283" t="str">
        <f>IF(E391&lt;=E392,"OK","NG")</f>
        <v>OK</v>
      </c>
      <c r="H392" s="69"/>
      <c r="I392" s="80"/>
      <c r="J392"/>
      <c r="K392" s="352"/>
    </row>
    <row r="393" spans="1:11" x14ac:dyDescent="0.2">
      <c r="A393" s="339"/>
      <c r="F393" s="69"/>
      <c r="G393" s="69"/>
      <c r="H393" s="69"/>
      <c r="I393" s="80"/>
      <c r="J393"/>
      <c r="K393" s="352"/>
    </row>
    <row r="394" spans="1:11" x14ac:dyDescent="0.2">
      <c r="A394" s="348"/>
      <c r="B394" s="291"/>
      <c r="C394" s="291"/>
      <c r="D394" s="291"/>
      <c r="E394" s="291"/>
      <c r="F394" s="186"/>
      <c r="G394" s="186"/>
      <c r="H394" s="186"/>
      <c r="I394" s="187"/>
      <c r="J394" s="196"/>
      <c r="K394" s="351"/>
    </row>
    <row r="395" spans="1:11" ht="18" x14ac:dyDescent="0.2">
      <c r="A395" s="326" t="s">
        <v>144</v>
      </c>
      <c r="E395" s="69"/>
      <c r="F395" s="69"/>
      <c r="G395" s="27"/>
      <c r="H395" s="27"/>
      <c r="I395" s="80"/>
      <c r="J395"/>
      <c r="K395" s="352"/>
    </row>
    <row r="396" spans="1:11" ht="15" customHeight="1" x14ac:dyDescent="0.2">
      <c r="A396" s="327"/>
      <c r="B396" s="174" t="s">
        <v>319</v>
      </c>
      <c r="E396" s="69"/>
      <c r="F396" s="69"/>
      <c r="G396" s="27"/>
      <c r="H396" s="27"/>
      <c r="I396" s="80"/>
      <c r="J396"/>
      <c r="K396" s="352"/>
    </row>
    <row r="397" spans="1:11" ht="15.75" x14ac:dyDescent="0.3">
      <c r="A397" s="333"/>
      <c r="D397" s="49" t="s">
        <v>149</v>
      </c>
      <c r="E397" s="29">
        <f>np</f>
        <v>12</v>
      </c>
      <c r="F397" s="69"/>
      <c r="G397" s="27"/>
      <c r="H397" s="27"/>
      <c r="I397" s="80"/>
      <c r="J397"/>
      <c r="K397" s="352"/>
    </row>
    <row r="398" spans="1:11" ht="14.25" x14ac:dyDescent="0.2">
      <c r="A398" s="333"/>
      <c r="D398" s="49"/>
      <c r="E398" s="29"/>
      <c r="F398" s="69"/>
      <c r="G398" s="27"/>
      <c r="H398" s="27"/>
      <c r="I398" s="80"/>
      <c r="J398"/>
      <c r="K398" s="352"/>
    </row>
    <row r="399" spans="1:11" ht="14.25" x14ac:dyDescent="0.2">
      <c r="D399" s="28" t="s">
        <v>56</v>
      </c>
      <c r="E399" s="29">
        <f ca="1">'PILECAP WKST'!G71</f>
        <v>11.5</v>
      </c>
      <c r="F399" s="17" t="s">
        <v>23</v>
      </c>
      <c r="G399" s="27"/>
      <c r="H399" s="27"/>
      <c r="I399" s="80"/>
      <c r="J399"/>
      <c r="K399" s="352"/>
    </row>
    <row r="400" spans="1:11" ht="14.25" customHeight="1" x14ac:dyDescent="0.2">
      <c r="D400" s="28" t="s">
        <v>57</v>
      </c>
      <c r="E400" s="29">
        <f ca="1">'PILECAP WKST'!H71</f>
        <v>8.5</v>
      </c>
      <c r="F400" s="17" t="s">
        <v>23</v>
      </c>
      <c r="G400" s="27"/>
      <c r="H400" s="27"/>
      <c r="I400" s="80"/>
      <c r="J400"/>
      <c r="K400" s="352"/>
    </row>
    <row r="401" spans="1:49" ht="14.25" x14ac:dyDescent="0.2">
      <c r="D401" s="49" t="str">
        <f>D27</f>
        <v>Pile Cap Depth, D =</v>
      </c>
      <c r="E401" s="29">
        <f>E27/12</f>
        <v>4.75</v>
      </c>
      <c r="F401" s="17" t="s">
        <v>23</v>
      </c>
      <c r="G401" s="27"/>
      <c r="H401" s="27"/>
      <c r="I401" s="80"/>
      <c r="J401"/>
      <c r="K401" s="352"/>
    </row>
    <row r="402" spans="1:49" ht="14.25" x14ac:dyDescent="0.2">
      <c r="D402" s="49"/>
      <c r="E402" s="29"/>
      <c r="F402" s="17"/>
      <c r="G402" s="27"/>
      <c r="H402" s="27"/>
      <c r="I402" s="80"/>
      <c r="J402"/>
      <c r="K402" s="352"/>
    </row>
    <row r="403" spans="1:49" ht="14.25" customHeight="1" x14ac:dyDescent="0.2">
      <c r="C403" s="5"/>
      <c r="D403" s="49" t="s">
        <v>293</v>
      </c>
      <c r="E403" s="29">
        <f ca="1">IF(E353&gt;0,E353,ROUNDDOWN(($E$400*12-2*$E$38)/H403,0)+1)</f>
        <v>17</v>
      </c>
      <c r="F403" s="29" t="str">
        <f>F353</f>
        <v>#9</v>
      </c>
      <c r="G403" s="27" t="s">
        <v>147</v>
      </c>
      <c r="H403" s="45">
        <f>E357</f>
        <v>6</v>
      </c>
      <c r="I403" s="80" t="s">
        <v>21</v>
      </c>
      <c r="J403"/>
      <c r="K403" s="352"/>
    </row>
    <row r="404" spans="1:49" ht="14.25" x14ac:dyDescent="0.2">
      <c r="C404" s="5"/>
      <c r="D404" s="67" t="s">
        <v>294</v>
      </c>
      <c r="E404" s="29">
        <f ca="1">IF(E387&gt;0,E387,ROUNDDOWN(($E$399*12-2*$E$38)/H404,0)+1)</f>
        <v>34</v>
      </c>
      <c r="F404" s="29" t="str">
        <f>F387</f>
        <v>#6</v>
      </c>
      <c r="G404" s="69" t="s">
        <v>147</v>
      </c>
      <c r="H404" s="45">
        <f>E391</f>
        <v>4</v>
      </c>
      <c r="I404" s="80" t="s">
        <v>21</v>
      </c>
      <c r="J404"/>
      <c r="K404" s="352"/>
    </row>
    <row r="405" spans="1:49" s="72" customFormat="1" ht="14.25" x14ac:dyDescent="0.2">
      <c r="A405" s="325"/>
      <c r="B405" s="71"/>
      <c r="D405" s="229"/>
      <c r="E405" s="29"/>
      <c r="F405" s="29"/>
      <c r="G405" s="69"/>
      <c r="H405" s="45"/>
      <c r="I405" s="80"/>
      <c r="J405" s="70"/>
      <c r="K405" s="352"/>
      <c r="L405" s="196"/>
      <c r="M405" s="294"/>
      <c r="N405" s="294"/>
      <c r="O405" s="294"/>
      <c r="P405" s="294"/>
      <c r="Q405" s="294"/>
      <c r="R405" s="294"/>
      <c r="S405" s="294"/>
      <c r="T405" s="294"/>
      <c r="U405" s="294"/>
      <c r="V405" s="294"/>
      <c r="W405" s="294"/>
      <c r="X405" s="294"/>
      <c r="Y405" s="208"/>
      <c r="Z405" s="208"/>
      <c r="AA405" s="208"/>
      <c r="AB405" s="208"/>
      <c r="AC405" s="208"/>
      <c r="AD405" s="208"/>
      <c r="AE405" s="70"/>
      <c r="AF405" s="70"/>
      <c r="AG405" s="70"/>
      <c r="AH405" s="70"/>
      <c r="AI405" s="70"/>
      <c r="AJ405" s="70"/>
      <c r="AK405" s="70"/>
      <c r="AL405" s="70"/>
      <c r="AM405" s="70"/>
      <c r="AN405" s="70"/>
      <c r="AO405" s="70"/>
      <c r="AP405" s="70"/>
      <c r="AQ405" s="70"/>
      <c r="AR405" s="70"/>
      <c r="AS405" s="70"/>
      <c r="AT405" s="70"/>
      <c r="AU405" s="70"/>
      <c r="AV405" s="70"/>
      <c r="AW405" s="70"/>
    </row>
    <row r="406" spans="1:49" s="72" customFormat="1" ht="14.25" x14ac:dyDescent="0.2">
      <c r="A406" s="325"/>
      <c r="B406" s="174" t="s">
        <v>300</v>
      </c>
      <c r="D406" s="229"/>
      <c r="E406" s="29"/>
      <c r="F406" s="29"/>
      <c r="G406" s="69"/>
      <c r="H406" s="45"/>
      <c r="I406" s="80"/>
      <c r="J406" s="242"/>
      <c r="K406" s="260"/>
      <c r="L406" s="196"/>
      <c r="M406" s="294"/>
      <c r="N406" s="294"/>
      <c r="O406" s="294"/>
      <c r="P406" s="294"/>
      <c r="Q406" s="294"/>
      <c r="R406" s="294"/>
      <c r="S406" s="294"/>
      <c r="T406" s="294"/>
      <c r="U406" s="294"/>
      <c r="V406" s="294"/>
      <c r="W406" s="294"/>
      <c r="X406" s="294"/>
      <c r="Y406" s="208"/>
      <c r="Z406" s="208"/>
      <c r="AA406" s="208"/>
      <c r="AB406" s="208"/>
      <c r="AC406" s="208"/>
      <c r="AD406" s="208"/>
      <c r="AE406" s="70"/>
      <c r="AF406" s="70"/>
      <c r="AG406" s="70"/>
      <c r="AH406" s="70"/>
      <c r="AI406" s="70"/>
      <c r="AJ406" s="70"/>
      <c r="AK406" s="70"/>
      <c r="AL406" s="70"/>
      <c r="AM406" s="70"/>
      <c r="AN406" s="70"/>
      <c r="AO406" s="70"/>
      <c r="AP406" s="70"/>
      <c r="AQ406" s="70"/>
      <c r="AR406" s="70"/>
      <c r="AS406" s="70"/>
      <c r="AT406" s="70"/>
      <c r="AU406" s="70"/>
      <c r="AV406" s="70"/>
      <c r="AW406" s="70"/>
    </row>
    <row r="407" spans="1:49" s="72" customFormat="1" ht="14.25" customHeight="1" x14ac:dyDescent="0.2">
      <c r="A407" s="325"/>
      <c r="B407" s="174"/>
      <c r="D407" s="230" t="s">
        <v>301</v>
      </c>
      <c r="E407" s="29">
        <f ca="1">E399*E400*(E27/12)/27</f>
        <v>17.19675925925926</v>
      </c>
      <c r="F407" s="319" t="s">
        <v>302</v>
      </c>
      <c r="G407" s="69"/>
      <c r="H407" s="45"/>
      <c r="I407" s="80"/>
      <c r="J407" s="259"/>
      <c r="K407" s="367"/>
      <c r="L407" s="196"/>
      <c r="M407" s="294"/>
      <c r="N407" s="294"/>
      <c r="O407" s="294"/>
      <c r="P407" s="294"/>
      <c r="Q407" s="294"/>
      <c r="R407" s="294"/>
      <c r="S407" s="294"/>
      <c r="T407" s="294"/>
      <c r="U407" s="294"/>
      <c r="V407" s="294"/>
      <c r="W407" s="294"/>
      <c r="X407" s="294"/>
      <c r="Y407" s="208"/>
      <c r="Z407" s="208"/>
      <c r="AA407" s="208"/>
      <c r="AB407" s="208"/>
      <c r="AC407" s="208"/>
      <c r="AD407" s="208"/>
      <c r="AE407" s="70"/>
      <c r="AF407" s="70"/>
      <c r="AG407" s="70"/>
      <c r="AH407" s="70"/>
      <c r="AI407" s="70"/>
      <c r="AJ407" s="70"/>
      <c r="AK407" s="70"/>
      <c r="AL407" s="70"/>
      <c r="AM407" s="70"/>
      <c r="AN407" s="70"/>
      <c r="AO407" s="70"/>
      <c r="AP407" s="70"/>
      <c r="AQ407" s="70"/>
      <c r="AR407" s="70"/>
      <c r="AS407" s="70"/>
      <c r="AT407" s="70"/>
      <c r="AU407" s="70"/>
      <c r="AV407" s="70"/>
      <c r="AW407" s="70"/>
    </row>
    <row r="408" spans="1:49" s="72" customFormat="1" ht="14.25" customHeight="1" x14ac:dyDescent="0.2">
      <c r="A408" s="325"/>
      <c r="B408" s="174"/>
      <c r="D408" s="230"/>
      <c r="E408" s="29"/>
      <c r="F408" s="319"/>
      <c r="G408" s="69"/>
      <c r="H408" s="45"/>
      <c r="I408" s="80"/>
      <c r="J408" s="463" t="s">
        <v>318</v>
      </c>
      <c r="K408" s="464"/>
      <c r="L408" s="196"/>
      <c r="M408" s="294"/>
      <c r="N408" s="294"/>
      <c r="O408" s="294"/>
      <c r="P408" s="294"/>
      <c r="Q408" s="294"/>
      <c r="R408" s="294"/>
      <c r="S408" s="294"/>
      <c r="T408" s="294"/>
      <c r="U408" s="294"/>
      <c r="V408" s="294"/>
      <c r="W408" s="294"/>
      <c r="X408" s="294"/>
      <c r="Y408" s="208"/>
      <c r="Z408" s="208"/>
      <c r="AA408" s="208"/>
      <c r="AB408" s="208"/>
      <c r="AC408" s="208"/>
      <c r="AD408" s="208"/>
      <c r="AE408" s="70"/>
      <c r="AF408" s="70"/>
      <c r="AG408" s="70"/>
      <c r="AH408" s="70"/>
      <c r="AI408" s="70"/>
      <c r="AJ408" s="70"/>
      <c r="AK408" s="70"/>
      <c r="AL408" s="70"/>
      <c r="AM408" s="70"/>
      <c r="AN408" s="70"/>
      <c r="AO408" s="70"/>
      <c r="AP408" s="70"/>
      <c r="AQ408" s="70"/>
      <c r="AR408" s="70"/>
      <c r="AS408" s="70"/>
      <c r="AT408" s="70"/>
      <c r="AU408" s="70"/>
      <c r="AV408" s="70"/>
      <c r="AW408" s="70"/>
    </row>
    <row r="409" spans="1:49" s="72" customFormat="1" ht="14.25" x14ac:dyDescent="0.2">
      <c r="A409" s="325"/>
      <c r="B409" s="174"/>
      <c r="D409" s="229" t="s">
        <v>309</v>
      </c>
      <c r="E409" s="45">
        <f ca="1">E403*E400*12*VLOOKUP(F403,'PILECAP WKST'!$A$80:$C$89,2,FALSE)*0.284</f>
        <v>492.45599999999996</v>
      </c>
      <c r="F409" s="319" t="s">
        <v>308</v>
      </c>
      <c r="G409" s="69"/>
      <c r="H409" s="45"/>
      <c r="I409" s="80"/>
      <c r="J409" s="463"/>
      <c r="K409" s="464"/>
      <c r="L409" s="196"/>
      <c r="M409" s="294"/>
      <c r="N409" s="294"/>
      <c r="O409" s="294"/>
      <c r="P409" s="294"/>
      <c r="Q409" s="294"/>
      <c r="R409" s="294"/>
      <c r="S409" s="294"/>
      <c r="T409" s="294"/>
      <c r="U409" s="294"/>
      <c r="V409" s="294"/>
      <c r="W409" s="294"/>
      <c r="X409" s="294"/>
      <c r="Y409" s="208"/>
      <c r="Z409" s="208"/>
      <c r="AA409" s="208"/>
      <c r="AB409" s="208"/>
      <c r="AC409" s="208"/>
      <c r="AD409" s="208"/>
      <c r="AE409" s="70"/>
      <c r="AF409" s="70"/>
      <c r="AG409" s="70"/>
      <c r="AH409" s="70"/>
      <c r="AI409" s="70"/>
      <c r="AJ409" s="70"/>
      <c r="AK409" s="70"/>
      <c r="AL409" s="70"/>
      <c r="AM409" s="70"/>
      <c r="AN409" s="70"/>
      <c r="AO409" s="70"/>
      <c r="AP409" s="70"/>
      <c r="AQ409" s="70"/>
      <c r="AR409" s="70"/>
      <c r="AS409" s="70"/>
      <c r="AT409" s="70"/>
      <c r="AU409" s="70"/>
      <c r="AV409" s="70"/>
      <c r="AW409" s="70"/>
    </row>
    <row r="410" spans="1:49" s="72" customFormat="1" ht="14.25" x14ac:dyDescent="0.2">
      <c r="A410" s="325"/>
      <c r="B410" s="323"/>
      <c r="C410" s="157"/>
      <c r="D410" s="322" t="s">
        <v>317</v>
      </c>
      <c r="E410" s="320">
        <f ca="1">E404*E399*12*VLOOKUP(F404,'PILECAP WKST'!$A$80:$C$89,2,FALSE)*0.284</f>
        <v>586.31232</v>
      </c>
      <c r="F410" s="321" t="s">
        <v>308</v>
      </c>
      <c r="G410" s="69"/>
      <c r="H410" s="45"/>
      <c r="I410" s="80"/>
      <c r="J410" s="465"/>
      <c r="K410" s="466"/>
      <c r="L410" s="196"/>
      <c r="M410" s="294"/>
      <c r="N410" s="294"/>
      <c r="O410" s="294"/>
      <c r="P410" s="294"/>
      <c r="Q410" s="294"/>
      <c r="R410" s="294"/>
      <c r="S410" s="294"/>
      <c r="T410" s="294"/>
      <c r="U410" s="294"/>
      <c r="V410" s="294"/>
      <c r="W410" s="294"/>
      <c r="X410" s="294"/>
      <c r="Y410" s="208"/>
      <c r="Z410" s="208"/>
      <c r="AA410" s="208"/>
      <c r="AB410" s="208"/>
      <c r="AC410" s="208"/>
      <c r="AD410" s="208"/>
      <c r="AE410" s="70"/>
      <c r="AF410" s="70"/>
      <c r="AG410" s="70"/>
      <c r="AH410" s="70"/>
      <c r="AI410" s="70"/>
      <c r="AJ410" s="70"/>
      <c r="AK410" s="70"/>
      <c r="AL410" s="70"/>
      <c r="AM410" s="70"/>
      <c r="AN410" s="70"/>
      <c r="AO410" s="70"/>
      <c r="AP410" s="70"/>
      <c r="AQ410" s="70"/>
      <c r="AR410" s="70"/>
      <c r="AS410" s="70"/>
      <c r="AT410" s="70"/>
      <c r="AU410" s="70"/>
      <c r="AV410" s="70"/>
      <c r="AW410" s="70"/>
    </row>
    <row r="411" spans="1:49" s="72" customFormat="1" ht="14.25" x14ac:dyDescent="0.2">
      <c r="A411" s="325"/>
      <c r="B411" s="174"/>
      <c r="D411" s="229" t="s">
        <v>310</v>
      </c>
      <c r="E411" s="29">
        <f ca="1">(E409+E410)/2000</f>
        <v>0.53938416</v>
      </c>
      <c r="F411" s="319" t="s">
        <v>311</v>
      </c>
      <c r="G411" s="69"/>
      <c r="H411" s="45"/>
      <c r="I411" s="80"/>
      <c r="J411" s="70"/>
      <c r="K411" s="352"/>
      <c r="L411" s="196"/>
      <c r="M411" s="294"/>
      <c r="N411" s="294"/>
      <c r="O411" s="294"/>
      <c r="P411" s="294"/>
      <c r="Q411" s="294"/>
      <c r="R411" s="294"/>
      <c r="S411" s="294"/>
      <c r="T411" s="294"/>
      <c r="U411" s="294"/>
      <c r="V411" s="294"/>
      <c r="W411" s="294"/>
      <c r="X411" s="294"/>
      <c r="Y411" s="208"/>
      <c r="Z411" s="208"/>
      <c r="AA411" s="208"/>
      <c r="AB411" s="208"/>
      <c r="AC411" s="208"/>
      <c r="AD411" s="208"/>
      <c r="AE411" s="70"/>
      <c r="AF411" s="70"/>
      <c r="AG411" s="70"/>
      <c r="AH411" s="70"/>
      <c r="AI411" s="70"/>
      <c r="AJ411" s="70"/>
      <c r="AK411" s="70"/>
      <c r="AL411" s="70"/>
      <c r="AM411" s="70"/>
      <c r="AN411" s="70"/>
      <c r="AO411" s="70"/>
      <c r="AP411" s="70"/>
      <c r="AQ411" s="70"/>
      <c r="AR411" s="70"/>
      <c r="AS411" s="70"/>
      <c r="AT411" s="70"/>
      <c r="AU411" s="70"/>
      <c r="AV411" s="70"/>
      <c r="AW411" s="70"/>
    </row>
    <row r="412" spans="1:49" s="72" customFormat="1" ht="14.25" x14ac:dyDescent="0.2">
      <c r="A412" s="325"/>
      <c r="B412" s="174"/>
      <c r="D412" s="229"/>
      <c r="E412" s="29"/>
      <c r="F412" s="29"/>
      <c r="G412" s="69"/>
      <c r="H412" s="45"/>
      <c r="I412" s="80"/>
      <c r="J412" s="70"/>
      <c r="K412" s="352"/>
      <c r="L412" s="196"/>
      <c r="M412" s="294"/>
      <c r="N412" s="294"/>
      <c r="O412" s="294"/>
      <c r="P412" s="294"/>
      <c r="Q412" s="294"/>
      <c r="R412" s="294"/>
      <c r="S412" s="294"/>
      <c r="T412" s="294"/>
      <c r="U412" s="294"/>
      <c r="V412" s="294"/>
      <c r="W412" s="294"/>
      <c r="X412" s="294"/>
      <c r="Y412" s="208"/>
      <c r="Z412" s="208"/>
      <c r="AA412" s="208"/>
      <c r="AB412" s="208"/>
      <c r="AC412" s="208"/>
      <c r="AD412" s="208"/>
      <c r="AE412" s="70"/>
      <c r="AF412" s="70"/>
      <c r="AG412" s="70"/>
      <c r="AH412" s="70"/>
      <c r="AI412" s="70"/>
      <c r="AJ412" s="70"/>
      <c r="AK412" s="70"/>
      <c r="AL412" s="70"/>
      <c r="AM412" s="70"/>
      <c r="AN412" s="70"/>
      <c r="AO412" s="70"/>
      <c r="AP412" s="70"/>
      <c r="AQ412" s="70"/>
      <c r="AR412" s="70"/>
      <c r="AS412" s="70"/>
      <c r="AT412" s="70"/>
      <c r="AU412" s="70"/>
      <c r="AV412" s="70"/>
      <c r="AW412" s="70"/>
    </row>
    <row r="413" spans="1:49" s="72" customFormat="1" ht="14.25" x14ac:dyDescent="0.2">
      <c r="A413" s="325"/>
      <c r="B413" s="174" t="s">
        <v>312</v>
      </c>
      <c r="D413" s="229"/>
      <c r="E413" s="29"/>
      <c r="F413" s="29"/>
      <c r="G413" s="69"/>
      <c r="H413" s="45"/>
      <c r="I413" s="80"/>
      <c r="J413" s="70"/>
      <c r="K413" s="352"/>
      <c r="L413" s="196"/>
      <c r="M413" s="294"/>
      <c r="N413" s="294"/>
      <c r="O413" s="294"/>
      <c r="P413" s="294"/>
      <c r="Q413" s="294"/>
      <c r="R413" s="294"/>
      <c r="S413" s="294"/>
      <c r="T413" s="294"/>
      <c r="U413" s="294"/>
      <c r="V413" s="294"/>
      <c r="W413" s="294"/>
      <c r="X413" s="294"/>
      <c r="Y413" s="208"/>
      <c r="Z413" s="208"/>
      <c r="AA413" s="208"/>
      <c r="AB413" s="208"/>
      <c r="AC413" s="208"/>
      <c r="AD413" s="208"/>
      <c r="AE413" s="70"/>
      <c r="AF413" s="70"/>
      <c r="AG413" s="70"/>
      <c r="AH413" s="70"/>
      <c r="AI413" s="70"/>
      <c r="AJ413" s="70"/>
      <c r="AK413" s="70"/>
      <c r="AL413" s="70"/>
      <c r="AM413" s="70"/>
      <c r="AN413" s="70"/>
      <c r="AO413" s="70"/>
      <c r="AP413" s="70"/>
      <c r="AQ413" s="70"/>
      <c r="AR413" s="70"/>
      <c r="AS413" s="70"/>
      <c r="AT413" s="70"/>
      <c r="AU413" s="70"/>
      <c r="AV413" s="70"/>
      <c r="AW413" s="70"/>
    </row>
    <row r="414" spans="1:49" s="72" customFormat="1" ht="14.25" x14ac:dyDescent="0.2">
      <c r="A414" s="325"/>
      <c r="B414" s="174"/>
      <c r="D414" s="229" t="s">
        <v>313</v>
      </c>
      <c r="E414" s="29">
        <f>D75*lf</f>
        <v>1920</v>
      </c>
      <c r="F414" s="319" t="s">
        <v>314</v>
      </c>
      <c r="G414" s="69"/>
      <c r="H414" s="45"/>
      <c r="I414" s="80"/>
      <c r="J414" s="70"/>
      <c r="K414" s="352"/>
      <c r="L414" s="196"/>
      <c r="M414" s="294"/>
      <c r="N414" s="294"/>
      <c r="O414" s="294"/>
      <c r="P414" s="294"/>
      <c r="Q414" s="294"/>
      <c r="R414" s="294"/>
      <c r="S414" s="294"/>
      <c r="T414" s="294"/>
      <c r="U414" s="294"/>
      <c r="V414" s="294"/>
      <c r="W414" s="294"/>
      <c r="X414" s="294"/>
      <c r="Y414" s="208"/>
      <c r="Z414" s="208"/>
      <c r="AA414" s="208"/>
      <c r="AB414" s="208"/>
      <c r="AC414" s="208"/>
      <c r="AD414" s="208"/>
      <c r="AE414" s="70"/>
      <c r="AF414" s="70"/>
      <c r="AG414" s="70"/>
      <c r="AH414" s="70"/>
      <c r="AI414" s="70"/>
      <c r="AJ414" s="70"/>
      <c r="AK414" s="70"/>
      <c r="AL414" s="70"/>
      <c r="AM414" s="70"/>
      <c r="AN414" s="70"/>
      <c r="AO414" s="70"/>
      <c r="AP414" s="70"/>
      <c r="AQ414" s="70"/>
      <c r="AR414" s="70"/>
      <c r="AS414" s="70"/>
      <c r="AT414" s="70"/>
      <c r="AU414" s="70"/>
      <c r="AV414" s="70"/>
      <c r="AW414" s="70"/>
    </row>
    <row r="415" spans="1:49" s="72" customFormat="1" ht="14.25" x14ac:dyDescent="0.2">
      <c r="A415" s="325"/>
      <c r="B415" s="323"/>
      <c r="C415" s="157"/>
      <c r="D415" s="322" t="s">
        <v>316</v>
      </c>
      <c r="E415" s="167">
        <f ca="1">1.4*E407*27*0.15</f>
        <v>97.505624999999995</v>
      </c>
      <c r="F415" s="321" t="s">
        <v>314</v>
      </c>
      <c r="G415" s="69"/>
      <c r="H415" s="45"/>
      <c r="I415" s="80"/>
      <c r="J415" s="70"/>
      <c r="K415" s="352"/>
      <c r="L415" s="196"/>
      <c r="M415" s="294"/>
      <c r="N415" s="294"/>
      <c r="O415" s="294"/>
      <c r="P415" s="294"/>
      <c r="Q415" s="294"/>
      <c r="R415" s="294"/>
      <c r="S415" s="294"/>
      <c r="T415" s="294"/>
      <c r="U415" s="294"/>
      <c r="V415" s="294"/>
      <c r="W415" s="294"/>
      <c r="X415" s="294"/>
      <c r="Y415" s="208"/>
      <c r="Z415" s="208"/>
      <c r="AA415" s="208"/>
      <c r="AB415" s="208"/>
      <c r="AC415" s="208"/>
      <c r="AD415" s="208"/>
      <c r="AE415" s="70"/>
      <c r="AF415" s="70"/>
      <c r="AG415" s="70"/>
      <c r="AH415" s="70"/>
      <c r="AI415" s="70"/>
      <c r="AJ415" s="70"/>
      <c r="AK415" s="70"/>
      <c r="AL415" s="70"/>
      <c r="AM415" s="70"/>
      <c r="AN415" s="70"/>
      <c r="AO415" s="70"/>
      <c r="AP415" s="70"/>
      <c r="AQ415" s="70"/>
      <c r="AR415" s="70"/>
      <c r="AS415" s="70"/>
      <c r="AT415" s="70"/>
      <c r="AU415" s="70"/>
      <c r="AV415" s="70"/>
      <c r="AW415" s="70"/>
    </row>
    <row r="416" spans="1:49" s="72" customFormat="1" ht="14.25" x14ac:dyDescent="0.2">
      <c r="A416" s="325"/>
      <c r="B416" s="174"/>
      <c r="D416" s="229" t="s">
        <v>315</v>
      </c>
      <c r="E416" s="29">
        <f ca="1">E414-E415</f>
        <v>1822.494375</v>
      </c>
      <c r="F416" s="319" t="s">
        <v>314</v>
      </c>
      <c r="G416" s="69"/>
      <c r="H416" s="45"/>
      <c r="I416" s="80"/>
      <c r="J416" s="70"/>
      <c r="K416" s="352"/>
      <c r="L416" s="196"/>
      <c r="M416" s="294"/>
      <c r="N416" s="294"/>
      <c r="O416" s="294"/>
      <c r="P416" s="294"/>
      <c r="Q416" s="294"/>
      <c r="R416" s="294"/>
      <c r="S416" s="294"/>
      <c r="T416" s="294"/>
      <c r="U416" s="294"/>
      <c r="V416" s="294"/>
      <c r="W416" s="294"/>
      <c r="X416" s="294"/>
      <c r="Y416" s="208"/>
      <c r="Z416" s="208"/>
      <c r="AA416" s="208"/>
      <c r="AB416" s="208"/>
      <c r="AC416" s="208"/>
      <c r="AD416" s="208"/>
      <c r="AE416" s="70"/>
      <c r="AF416" s="70"/>
      <c r="AG416" s="70"/>
      <c r="AH416" s="70"/>
      <c r="AI416" s="70"/>
      <c r="AJ416" s="70"/>
      <c r="AK416" s="70"/>
      <c r="AL416" s="70"/>
      <c r="AM416" s="70"/>
      <c r="AN416" s="70"/>
      <c r="AO416" s="70"/>
      <c r="AP416" s="70"/>
      <c r="AQ416" s="70"/>
      <c r="AR416" s="70"/>
      <c r="AS416" s="70"/>
      <c r="AT416" s="70"/>
      <c r="AU416" s="70"/>
      <c r="AV416" s="70"/>
      <c r="AW416" s="70"/>
    </row>
    <row r="417" spans="4:11" ht="14.25" x14ac:dyDescent="0.2">
      <c r="D417" s="49"/>
      <c r="E417" s="29"/>
      <c r="F417" s="17"/>
      <c r="G417" s="27"/>
      <c r="H417" s="27"/>
      <c r="I417" s="80"/>
      <c r="J417"/>
      <c r="K417" s="352"/>
    </row>
    <row r="418" spans="4:11" ht="12.75" customHeight="1" x14ac:dyDescent="0.2">
      <c r="D418" s="49"/>
      <c r="E418" s="29"/>
      <c r="F418" s="17"/>
      <c r="G418" s="27"/>
      <c r="H418" s="27"/>
      <c r="I418" s="80"/>
      <c r="J418"/>
      <c r="K418" s="352"/>
    </row>
    <row r="419" spans="4:11" ht="14.25" x14ac:dyDescent="0.2">
      <c r="D419" s="49"/>
      <c r="E419" s="29"/>
      <c r="F419" s="17"/>
      <c r="G419" s="27"/>
      <c r="H419" s="27"/>
      <c r="I419" s="80"/>
      <c r="J419"/>
      <c r="K419" s="352"/>
    </row>
    <row r="420" spans="4:11" ht="14.25" x14ac:dyDescent="0.2">
      <c r="D420" s="49"/>
      <c r="E420" s="29"/>
      <c r="F420" s="17"/>
      <c r="G420" s="27"/>
      <c r="H420" s="27"/>
      <c r="I420" s="80"/>
      <c r="J420"/>
      <c r="K420" s="352"/>
    </row>
    <row r="421" spans="4:11" x14ac:dyDescent="0.2">
      <c r="G421" s="27"/>
      <c r="H421" s="27"/>
      <c r="I421" s="80"/>
      <c r="J421"/>
      <c r="K421" s="352"/>
    </row>
    <row r="422" spans="4:11" x14ac:dyDescent="0.2">
      <c r="J422"/>
      <c r="K422" s="352"/>
    </row>
    <row r="423" spans="4:11" x14ac:dyDescent="0.2">
      <c r="J423"/>
      <c r="K423" s="352"/>
    </row>
    <row r="424" spans="4:11" x14ac:dyDescent="0.2">
      <c r="J424"/>
      <c r="K424" s="352"/>
    </row>
    <row r="425" spans="4:11" x14ac:dyDescent="0.2">
      <c r="J425"/>
      <c r="K425" s="352"/>
    </row>
    <row r="426" spans="4:11" x14ac:dyDescent="0.2">
      <c r="J426"/>
      <c r="K426" s="352"/>
    </row>
    <row r="427" spans="4:11" x14ac:dyDescent="0.2">
      <c r="J427"/>
      <c r="K427" s="352"/>
    </row>
    <row r="428" spans="4:11" x14ac:dyDescent="0.2">
      <c r="J428"/>
      <c r="K428" s="352"/>
    </row>
    <row r="429" spans="4:11" x14ac:dyDescent="0.2">
      <c r="J429"/>
      <c r="K429" s="352"/>
    </row>
    <row r="430" spans="4:11" x14ac:dyDescent="0.2">
      <c r="J430"/>
      <c r="K430" s="352"/>
    </row>
    <row r="431" spans="4:11" x14ac:dyDescent="0.2">
      <c r="J431"/>
      <c r="K431" s="352"/>
    </row>
    <row r="432" spans="4:11" ht="15" customHeight="1" x14ac:dyDescent="0.2">
      <c r="J432"/>
      <c r="K432" s="352"/>
    </row>
    <row r="433" spans="1:49" ht="15" customHeight="1" x14ac:dyDescent="0.2">
      <c r="J433"/>
      <c r="K433" s="352"/>
    </row>
    <row r="434" spans="1:49" x14ac:dyDescent="0.2">
      <c r="J434"/>
      <c r="K434" s="352"/>
    </row>
    <row r="435" spans="1:49" x14ac:dyDescent="0.2">
      <c r="J435"/>
      <c r="K435" s="352"/>
    </row>
    <row r="436" spans="1:49" x14ac:dyDescent="0.2">
      <c r="J436"/>
      <c r="K436" s="352"/>
    </row>
    <row r="437" spans="1:49" x14ac:dyDescent="0.2">
      <c r="J437"/>
      <c r="K437" s="352"/>
    </row>
    <row r="438" spans="1:49" x14ac:dyDescent="0.2">
      <c r="J438" s="27"/>
      <c r="K438" s="80"/>
    </row>
    <row r="439" spans="1:49" x14ac:dyDescent="0.2">
      <c r="A439" s="349"/>
      <c r="B439" s="186"/>
      <c r="C439" s="186"/>
      <c r="D439" s="186"/>
      <c r="E439" s="186"/>
      <c r="F439" s="186"/>
      <c r="G439" s="186"/>
      <c r="H439" s="186"/>
      <c r="I439" s="187"/>
      <c r="J439" s="186"/>
      <c r="K439" s="187"/>
    </row>
    <row r="440" spans="1:49" s="72" customFormat="1" x14ac:dyDescent="0.2">
      <c r="A440" s="350"/>
      <c r="B440" s="274"/>
      <c r="C440" s="274"/>
      <c r="D440" s="274"/>
      <c r="E440" s="274"/>
      <c r="F440" s="274"/>
      <c r="G440" s="274"/>
      <c r="H440" s="274"/>
      <c r="I440" s="352"/>
      <c r="J440" s="274"/>
      <c r="K440" s="352"/>
      <c r="L440" s="274"/>
      <c r="M440" s="276"/>
      <c r="N440" s="276"/>
      <c r="O440" s="276"/>
      <c r="P440" s="276"/>
      <c r="Q440" s="276"/>
      <c r="R440" s="294"/>
      <c r="S440" s="294"/>
      <c r="T440" s="294"/>
      <c r="U440" s="294"/>
      <c r="V440" s="294"/>
      <c r="W440" s="294"/>
      <c r="X440" s="294"/>
      <c r="Y440" s="304"/>
      <c r="Z440" s="304"/>
      <c r="AA440" s="304"/>
      <c r="AB440" s="304"/>
      <c r="AC440" s="304"/>
      <c r="AD440" s="304"/>
      <c r="AE440" s="274"/>
      <c r="AF440" s="274"/>
      <c r="AG440" s="274"/>
      <c r="AH440" s="274"/>
      <c r="AI440" s="274"/>
      <c r="AJ440" s="274"/>
      <c r="AK440" s="274"/>
      <c r="AL440" s="274"/>
      <c r="AM440" s="274"/>
      <c r="AN440" s="274"/>
      <c r="AO440" s="274"/>
      <c r="AP440" s="274"/>
      <c r="AQ440" s="274"/>
      <c r="AR440" s="274"/>
      <c r="AS440" s="274"/>
      <c r="AT440" s="274"/>
      <c r="AU440" s="274"/>
      <c r="AV440" s="274"/>
      <c r="AW440" s="274"/>
    </row>
    <row r="441" spans="1:49" s="72" customFormat="1" x14ac:dyDescent="0.2">
      <c r="A441" s="350"/>
      <c r="B441" s="274"/>
      <c r="C441" s="274"/>
      <c r="D441" s="274"/>
      <c r="E441" s="274"/>
      <c r="F441" s="274"/>
      <c r="G441" s="274"/>
      <c r="H441" s="274"/>
      <c r="I441" s="352"/>
      <c r="J441" s="274"/>
      <c r="K441" s="352"/>
      <c r="L441" s="274"/>
      <c r="M441" s="276"/>
      <c r="N441" s="276"/>
      <c r="O441" s="276"/>
      <c r="P441" s="276"/>
      <c r="Q441" s="276"/>
      <c r="R441" s="294"/>
      <c r="S441" s="294"/>
      <c r="T441" s="294"/>
      <c r="U441" s="294"/>
      <c r="V441" s="294"/>
      <c r="W441" s="294"/>
      <c r="X441" s="294"/>
      <c r="Y441" s="304"/>
      <c r="Z441" s="304"/>
      <c r="AA441" s="304"/>
      <c r="AB441" s="304"/>
      <c r="AC441" s="304"/>
      <c r="AD441" s="304"/>
      <c r="AE441" s="274"/>
      <c r="AF441" s="274"/>
      <c r="AG441" s="274"/>
      <c r="AH441" s="274"/>
      <c r="AI441" s="274"/>
      <c r="AJ441" s="274"/>
      <c r="AK441" s="274"/>
      <c r="AL441" s="274"/>
      <c r="AM441" s="274"/>
      <c r="AN441" s="274"/>
      <c r="AO441" s="274"/>
      <c r="AP441" s="274"/>
      <c r="AQ441" s="274"/>
      <c r="AR441" s="274"/>
      <c r="AS441" s="274"/>
      <c r="AT441" s="274"/>
      <c r="AU441" s="274"/>
      <c r="AV441" s="274"/>
      <c r="AW441" s="274"/>
    </row>
    <row r="442" spans="1:49" s="72" customFormat="1" x14ac:dyDescent="0.2">
      <c r="A442" s="350"/>
      <c r="B442" s="274"/>
      <c r="C442" s="274"/>
      <c r="D442" s="274"/>
      <c r="E442" s="274"/>
      <c r="F442" s="274"/>
      <c r="G442" s="274"/>
      <c r="H442" s="274"/>
      <c r="I442" s="352"/>
      <c r="J442" s="274"/>
      <c r="K442" s="352"/>
      <c r="L442" s="274"/>
      <c r="M442" s="276"/>
      <c r="N442" s="276"/>
      <c r="O442" s="276"/>
      <c r="P442" s="276"/>
      <c r="Q442" s="276"/>
      <c r="R442" s="294"/>
      <c r="S442" s="294"/>
      <c r="T442" s="294"/>
      <c r="U442" s="294"/>
      <c r="V442" s="294"/>
      <c r="W442" s="294"/>
      <c r="X442" s="294"/>
      <c r="Y442" s="304"/>
      <c r="Z442" s="304"/>
      <c r="AA442" s="304"/>
      <c r="AB442" s="304"/>
      <c r="AC442" s="304"/>
      <c r="AD442" s="304"/>
      <c r="AE442" s="274"/>
      <c r="AF442" s="274"/>
      <c r="AG442" s="274"/>
      <c r="AH442" s="274"/>
      <c r="AI442" s="274"/>
      <c r="AJ442" s="274"/>
      <c r="AK442" s="274"/>
      <c r="AL442" s="274"/>
      <c r="AM442" s="274"/>
      <c r="AN442" s="274"/>
      <c r="AO442" s="274"/>
      <c r="AP442" s="274"/>
      <c r="AQ442" s="274"/>
      <c r="AR442" s="274"/>
      <c r="AS442" s="274"/>
      <c r="AT442" s="274"/>
      <c r="AU442" s="274"/>
      <c r="AV442" s="274"/>
      <c r="AW442" s="274"/>
    </row>
    <row r="443" spans="1:49" s="72" customFormat="1" x14ac:dyDescent="0.2">
      <c r="A443" s="350"/>
      <c r="B443" s="274"/>
      <c r="C443" s="274"/>
      <c r="D443" s="274"/>
      <c r="E443" s="274"/>
      <c r="F443" s="274"/>
      <c r="G443" s="274"/>
      <c r="H443" s="274"/>
      <c r="I443" s="352"/>
      <c r="J443" s="274"/>
      <c r="K443" s="352"/>
      <c r="L443" s="274"/>
      <c r="M443" s="276"/>
      <c r="N443" s="276"/>
      <c r="O443" s="276"/>
      <c r="P443" s="276"/>
      <c r="Q443" s="276"/>
      <c r="R443" s="294"/>
      <c r="S443" s="294"/>
      <c r="T443" s="294"/>
      <c r="U443" s="294"/>
      <c r="V443" s="294"/>
      <c r="W443" s="294"/>
      <c r="X443" s="294"/>
      <c r="Y443" s="304"/>
      <c r="Z443" s="304"/>
      <c r="AA443" s="304"/>
      <c r="AB443" s="304"/>
      <c r="AC443" s="304"/>
      <c r="AD443" s="304"/>
      <c r="AE443" s="274"/>
      <c r="AF443" s="274"/>
      <c r="AG443" s="274"/>
      <c r="AH443" s="274"/>
      <c r="AI443" s="274"/>
      <c r="AJ443" s="274"/>
      <c r="AK443" s="274"/>
      <c r="AL443" s="274"/>
      <c r="AM443" s="274"/>
      <c r="AN443" s="274"/>
      <c r="AO443" s="274"/>
      <c r="AP443" s="274"/>
      <c r="AQ443" s="274"/>
      <c r="AR443" s="274"/>
      <c r="AS443" s="274"/>
      <c r="AT443" s="274"/>
      <c r="AU443" s="274"/>
      <c r="AV443" s="274"/>
      <c r="AW443" s="274"/>
    </row>
    <row r="444" spans="1:49" s="72" customFormat="1" x14ac:dyDescent="0.2">
      <c r="A444" s="350"/>
      <c r="B444" s="274"/>
      <c r="C444" s="274"/>
      <c r="D444" s="274"/>
      <c r="E444" s="274"/>
      <c r="F444" s="274"/>
      <c r="G444" s="274"/>
      <c r="H444" s="274"/>
      <c r="I444" s="352"/>
      <c r="J444" s="274"/>
      <c r="K444" s="352"/>
      <c r="L444" s="274"/>
      <c r="M444" s="276"/>
      <c r="N444" s="276"/>
      <c r="O444" s="276"/>
      <c r="P444" s="276"/>
      <c r="Q444" s="276"/>
      <c r="R444" s="294"/>
      <c r="S444" s="294"/>
      <c r="T444" s="294"/>
      <c r="U444" s="294"/>
      <c r="V444" s="294"/>
      <c r="W444" s="294"/>
      <c r="X444" s="294"/>
      <c r="Y444" s="304"/>
      <c r="Z444" s="304"/>
      <c r="AA444" s="304"/>
      <c r="AB444" s="304"/>
      <c r="AC444" s="304"/>
      <c r="AD444" s="304"/>
      <c r="AE444" s="274"/>
      <c r="AF444" s="274"/>
      <c r="AG444" s="274"/>
      <c r="AH444" s="274"/>
      <c r="AI444" s="274"/>
      <c r="AJ444" s="274"/>
      <c r="AK444" s="274"/>
      <c r="AL444" s="274"/>
      <c r="AM444" s="274"/>
      <c r="AN444" s="274"/>
      <c r="AO444" s="274"/>
      <c r="AP444" s="274"/>
      <c r="AQ444" s="274"/>
      <c r="AR444" s="274"/>
      <c r="AS444" s="274"/>
      <c r="AT444" s="274"/>
      <c r="AU444" s="274"/>
      <c r="AV444" s="274"/>
      <c r="AW444" s="274"/>
    </row>
    <row r="445" spans="1:49" s="72" customFormat="1" x14ac:dyDescent="0.2">
      <c r="A445" s="350"/>
      <c r="B445" s="274"/>
      <c r="C445" s="274"/>
      <c r="D445" s="274"/>
      <c r="E445" s="274"/>
      <c r="F445" s="274"/>
      <c r="G445" s="274"/>
      <c r="H445" s="274"/>
      <c r="I445" s="352"/>
      <c r="J445" s="274"/>
      <c r="K445" s="352"/>
      <c r="L445" s="274"/>
      <c r="M445" s="276"/>
      <c r="N445" s="276"/>
      <c r="O445" s="276"/>
      <c r="P445" s="276"/>
      <c r="Q445" s="276"/>
      <c r="R445" s="294"/>
      <c r="S445" s="294"/>
      <c r="T445" s="294"/>
      <c r="U445" s="294"/>
      <c r="V445" s="294"/>
      <c r="W445" s="294"/>
      <c r="X445" s="294"/>
      <c r="Y445" s="304"/>
      <c r="Z445" s="304"/>
      <c r="AA445" s="304"/>
      <c r="AB445" s="304"/>
      <c r="AC445" s="304"/>
      <c r="AD445" s="304"/>
      <c r="AE445" s="274"/>
      <c r="AF445" s="274"/>
      <c r="AG445" s="274"/>
      <c r="AH445" s="274"/>
      <c r="AI445" s="274"/>
      <c r="AJ445" s="274"/>
      <c r="AK445" s="274"/>
      <c r="AL445" s="274"/>
      <c r="AM445" s="274"/>
      <c r="AN445" s="274"/>
      <c r="AO445" s="274"/>
      <c r="AP445" s="274"/>
      <c r="AQ445" s="274"/>
      <c r="AR445" s="274"/>
      <c r="AS445" s="274"/>
      <c r="AT445" s="274"/>
      <c r="AU445" s="274"/>
      <c r="AV445" s="274"/>
      <c r="AW445" s="274"/>
    </row>
    <row r="446" spans="1:49" s="72" customFormat="1" x14ac:dyDescent="0.2">
      <c r="A446" s="350"/>
      <c r="B446" s="274"/>
      <c r="C446" s="274"/>
      <c r="D446" s="274"/>
      <c r="E446" s="274"/>
      <c r="F446" s="274"/>
      <c r="G446" s="274"/>
      <c r="H446" s="274"/>
      <c r="I446" s="352"/>
      <c r="J446" s="274"/>
      <c r="K446" s="352"/>
      <c r="L446" s="274"/>
      <c r="M446" s="276"/>
      <c r="N446" s="276"/>
      <c r="O446" s="276"/>
      <c r="P446" s="276"/>
      <c r="Q446" s="276"/>
      <c r="R446" s="294"/>
      <c r="S446" s="294"/>
      <c r="T446" s="294"/>
      <c r="U446" s="294"/>
      <c r="V446" s="294"/>
      <c r="W446" s="294"/>
      <c r="X446" s="294"/>
      <c r="Y446" s="304"/>
      <c r="Z446" s="304"/>
      <c r="AA446" s="304"/>
      <c r="AB446" s="304"/>
      <c r="AC446" s="304"/>
      <c r="AD446" s="304"/>
      <c r="AE446" s="274"/>
      <c r="AF446" s="274"/>
      <c r="AG446" s="274"/>
      <c r="AH446" s="274"/>
      <c r="AI446" s="274"/>
      <c r="AJ446" s="274"/>
      <c r="AK446" s="274"/>
      <c r="AL446" s="274"/>
      <c r="AM446" s="274"/>
      <c r="AN446" s="274"/>
      <c r="AO446" s="274"/>
      <c r="AP446" s="274"/>
      <c r="AQ446" s="274"/>
      <c r="AR446" s="274"/>
      <c r="AS446" s="274"/>
      <c r="AT446" s="274"/>
      <c r="AU446" s="274"/>
      <c r="AV446" s="274"/>
      <c r="AW446" s="274"/>
    </row>
    <row r="447" spans="1:49" s="72" customFormat="1" x14ac:dyDescent="0.2">
      <c r="A447" s="350"/>
      <c r="B447" s="274"/>
      <c r="C447" s="274"/>
      <c r="D447" s="274"/>
      <c r="E447" s="274"/>
      <c r="F447" s="274"/>
      <c r="G447" s="274"/>
      <c r="H447" s="274"/>
      <c r="I447" s="352"/>
      <c r="J447" s="274"/>
      <c r="K447" s="352"/>
      <c r="L447" s="274"/>
      <c r="M447" s="276"/>
      <c r="N447" s="276"/>
      <c r="O447" s="276"/>
      <c r="P447" s="276"/>
      <c r="Q447" s="276"/>
      <c r="R447" s="294"/>
      <c r="S447" s="294"/>
      <c r="T447" s="294"/>
      <c r="U447" s="294"/>
      <c r="V447" s="294"/>
      <c r="W447" s="294"/>
      <c r="X447" s="294"/>
      <c r="Y447" s="304"/>
      <c r="Z447" s="304"/>
      <c r="AA447" s="304"/>
      <c r="AB447" s="304"/>
      <c r="AC447" s="304"/>
      <c r="AD447" s="304"/>
      <c r="AE447" s="274"/>
      <c r="AF447" s="274"/>
      <c r="AG447" s="274"/>
      <c r="AH447" s="274"/>
      <c r="AI447" s="274"/>
      <c r="AJ447" s="274"/>
      <c r="AK447" s="274"/>
      <c r="AL447" s="274"/>
      <c r="AM447" s="274"/>
      <c r="AN447" s="274"/>
      <c r="AO447" s="274"/>
      <c r="AP447" s="274"/>
      <c r="AQ447" s="274"/>
      <c r="AR447" s="274"/>
      <c r="AS447" s="274"/>
      <c r="AT447" s="274"/>
      <c r="AU447" s="274"/>
      <c r="AV447" s="274"/>
      <c r="AW447" s="274"/>
    </row>
    <row r="448" spans="1:49" s="72" customFormat="1" x14ac:dyDescent="0.2">
      <c r="A448" s="350"/>
      <c r="B448" s="274"/>
      <c r="C448" s="274"/>
      <c r="D448" s="274"/>
      <c r="E448" s="274"/>
      <c r="F448" s="274"/>
      <c r="G448" s="274"/>
      <c r="H448" s="274"/>
      <c r="I448" s="352"/>
      <c r="J448" s="274"/>
      <c r="K448" s="352"/>
      <c r="L448" s="274"/>
      <c r="M448" s="276"/>
      <c r="N448" s="276"/>
      <c r="O448" s="276"/>
      <c r="P448" s="276"/>
      <c r="Q448" s="276"/>
      <c r="R448" s="294"/>
      <c r="S448" s="294"/>
      <c r="T448" s="294"/>
      <c r="U448" s="294"/>
      <c r="V448" s="294"/>
      <c r="W448" s="294"/>
      <c r="X448" s="294"/>
      <c r="Y448" s="304"/>
      <c r="Z448" s="304"/>
      <c r="AA448" s="304"/>
      <c r="AB448" s="304"/>
      <c r="AC448" s="304"/>
      <c r="AD448" s="304"/>
      <c r="AE448" s="274"/>
      <c r="AF448" s="274"/>
      <c r="AG448" s="274"/>
      <c r="AH448" s="274"/>
      <c r="AI448" s="274"/>
      <c r="AJ448" s="274"/>
      <c r="AK448" s="274"/>
      <c r="AL448" s="274"/>
      <c r="AM448" s="274"/>
      <c r="AN448" s="274"/>
      <c r="AO448" s="274"/>
      <c r="AP448" s="274"/>
      <c r="AQ448" s="274"/>
      <c r="AR448" s="274"/>
      <c r="AS448" s="274"/>
      <c r="AT448" s="274"/>
      <c r="AU448" s="274"/>
      <c r="AV448" s="274"/>
      <c r="AW448" s="274"/>
    </row>
    <row r="449" spans="1:49" s="72" customFormat="1" x14ac:dyDescent="0.2">
      <c r="A449" s="350"/>
      <c r="B449" s="274"/>
      <c r="C449" s="274"/>
      <c r="D449" s="274"/>
      <c r="E449" s="274"/>
      <c r="F449" s="274"/>
      <c r="G449" s="274"/>
      <c r="H449" s="274"/>
      <c r="I449" s="352"/>
      <c r="J449" s="274"/>
      <c r="K449" s="352"/>
      <c r="L449" s="274"/>
      <c r="M449" s="276"/>
      <c r="N449" s="276"/>
      <c r="O449" s="276"/>
      <c r="P449" s="276"/>
      <c r="Q449" s="276"/>
      <c r="R449" s="294"/>
      <c r="S449" s="294"/>
      <c r="T449" s="294"/>
      <c r="U449" s="294"/>
      <c r="V449" s="294"/>
      <c r="W449" s="294"/>
      <c r="X449" s="294"/>
      <c r="Y449" s="304"/>
      <c r="Z449" s="304"/>
      <c r="AA449" s="304"/>
      <c r="AB449" s="304"/>
      <c r="AC449" s="304"/>
      <c r="AD449" s="304"/>
      <c r="AE449" s="274"/>
      <c r="AF449" s="274"/>
      <c r="AG449" s="274"/>
      <c r="AH449" s="274"/>
      <c r="AI449" s="274"/>
      <c r="AJ449" s="274"/>
      <c r="AK449" s="274"/>
      <c r="AL449" s="274"/>
      <c r="AM449" s="274"/>
      <c r="AN449" s="274"/>
      <c r="AO449" s="274"/>
      <c r="AP449" s="274"/>
      <c r="AQ449" s="274"/>
      <c r="AR449" s="274"/>
      <c r="AS449" s="274"/>
      <c r="AT449" s="274"/>
      <c r="AU449" s="274"/>
      <c r="AV449" s="274"/>
      <c r="AW449" s="274"/>
    </row>
    <row r="450" spans="1:49" s="72" customFormat="1" x14ac:dyDescent="0.2">
      <c r="A450" s="350"/>
      <c r="B450" s="274"/>
      <c r="C450" s="274"/>
      <c r="D450" s="274"/>
      <c r="E450" s="274"/>
      <c r="F450" s="274"/>
      <c r="G450" s="274"/>
      <c r="H450" s="274"/>
      <c r="I450" s="352"/>
      <c r="J450" s="274"/>
      <c r="K450" s="352"/>
      <c r="L450" s="274"/>
      <c r="M450" s="276"/>
      <c r="N450" s="276"/>
      <c r="O450" s="276"/>
      <c r="P450" s="276"/>
      <c r="Q450" s="276"/>
      <c r="R450" s="294"/>
      <c r="S450" s="294"/>
      <c r="T450" s="294"/>
      <c r="U450" s="294"/>
      <c r="V450" s="294"/>
      <c r="W450" s="294"/>
      <c r="X450" s="294"/>
      <c r="Y450" s="304"/>
      <c r="Z450" s="304"/>
      <c r="AA450" s="304"/>
      <c r="AB450" s="304"/>
      <c r="AC450" s="304"/>
      <c r="AD450" s="304"/>
      <c r="AE450" s="274"/>
      <c r="AF450" s="274"/>
      <c r="AG450" s="274"/>
      <c r="AH450" s="274"/>
      <c r="AI450" s="274"/>
      <c r="AJ450" s="274"/>
      <c r="AK450" s="274"/>
      <c r="AL450" s="274"/>
      <c r="AM450" s="274"/>
      <c r="AN450" s="274"/>
      <c r="AO450" s="274"/>
      <c r="AP450" s="274"/>
      <c r="AQ450" s="274"/>
      <c r="AR450" s="274"/>
      <c r="AS450" s="274"/>
      <c r="AT450" s="274"/>
      <c r="AU450" s="274"/>
      <c r="AV450" s="274"/>
      <c r="AW450" s="274"/>
    </row>
    <row r="451" spans="1:49" s="72" customFormat="1" x14ac:dyDescent="0.2">
      <c r="A451" s="350"/>
      <c r="B451" s="274"/>
      <c r="C451" s="274"/>
      <c r="D451" s="274"/>
      <c r="E451" s="274"/>
      <c r="F451" s="274"/>
      <c r="G451" s="274"/>
      <c r="H451" s="274"/>
      <c r="I451" s="352"/>
      <c r="J451" s="274"/>
      <c r="K451" s="352"/>
      <c r="L451" s="274"/>
      <c r="M451" s="276"/>
      <c r="N451" s="276"/>
      <c r="O451" s="276"/>
      <c r="P451" s="276"/>
      <c r="Q451" s="276"/>
      <c r="R451" s="294"/>
      <c r="S451" s="294"/>
      <c r="T451" s="294"/>
      <c r="U451" s="294"/>
      <c r="V451" s="294"/>
      <c r="W451" s="294"/>
      <c r="X451" s="294"/>
      <c r="Y451" s="304"/>
      <c r="Z451" s="304"/>
      <c r="AA451" s="304"/>
      <c r="AB451" s="304"/>
      <c r="AC451" s="304"/>
      <c r="AD451" s="304"/>
      <c r="AE451" s="274"/>
      <c r="AF451" s="274"/>
      <c r="AG451" s="274"/>
      <c r="AH451" s="274"/>
      <c r="AI451" s="274"/>
      <c r="AJ451" s="274"/>
      <c r="AK451" s="274"/>
      <c r="AL451" s="274"/>
      <c r="AM451" s="274"/>
      <c r="AN451" s="274"/>
      <c r="AO451" s="274"/>
      <c r="AP451" s="274"/>
      <c r="AQ451" s="274"/>
      <c r="AR451" s="274"/>
      <c r="AS451" s="274"/>
      <c r="AT451" s="274"/>
      <c r="AU451" s="274"/>
      <c r="AV451" s="274"/>
      <c r="AW451" s="274"/>
    </row>
    <row r="452" spans="1:49" s="72" customFormat="1" x14ac:dyDescent="0.2">
      <c r="A452" s="350"/>
      <c r="B452" s="274"/>
      <c r="C452" s="274"/>
      <c r="D452" s="274"/>
      <c r="E452" s="274"/>
      <c r="F452" s="274"/>
      <c r="G452" s="274"/>
      <c r="H452" s="274"/>
      <c r="I452" s="352"/>
      <c r="J452" s="274"/>
      <c r="K452" s="352"/>
      <c r="L452" s="274"/>
      <c r="M452" s="276"/>
      <c r="N452" s="276"/>
      <c r="O452" s="276"/>
      <c r="P452" s="276"/>
      <c r="Q452" s="276"/>
      <c r="R452" s="294"/>
      <c r="S452" s="294"/>
      <c r="T452" s="294"/>
      <c r="U452" s="294"/>
      <c r="V452" s="294"/>
      <c r="W452" s="294"/>
      <c r="X452" s="294"/>
      <c r="Y452" s="304"/>
      <c r="Z452" s="304"/>
      <c r="AA452" s="304"/>
      <c r="AB452" s="304"/>
      <c r="AC452" s="304"/>
      <c r="AD452" s="304"/>
      <c r="AE452" s="274"/>
      <c r="AF452" s="274"/>
      <c r="AG452" s="274"/>
      <c r="AH452" s="274"/>
      <c r="AI452" s="274"/>
      <c r="AJ452" s="274"/>
      <c r="AK452" s="274"/>
      <c r="AL452" s="274"/>
      <c r="AM452" s="274"/>
      <c r="AN452" s="274"/>
      <c r="AO452" s="274"/>
      <c r="AP452" s="274"/>
      <c r="AQ452" s="274"/>
      <c r="AR452" s="274"/>
      <c r="AS452" s="274"/>
      <c r="AT452" s="274"/>
      <c r="AU452" s="274"/>
      <c r="AV452" s="274"/>
      <c r="AW452" s="274"/>
    </row>
    <row r="453" spans="1:49" s="72" customFormat="1" x14ac:dyDescent="0.2">
      <c r="A453" s="350"/>
      <c r="B453" s="274"/>
      <c r="C453" s="274"/>
      <c r="D453" s="274"/>
      <c r="E453" s="274"/>
      <c r="F453" s="274"/>
      <c r="G453" s="274"/>
      <c r="H453" s="274"/>
      <c r="I453" s="352"/>
      <c r="J453" s="274"/>
      <c r="K453" s="352"/>
      <c r="L453" s="274"/>
      <c r="M453" s="276"/>
      <c r="N453" s="276"/>
      <c r="O453" s="276"/>
      <c r="P453" s="276"/>
      <c r="Q453" s="276"/>
      <c r="R453" s="294"/>
      <c r="S453" s="294"/>
      <c r="T453" s="294"/>
      <c r="U453" s="294"/>
      <c r="V453" s="294"/>
      <c r="W453" s="294"/>
      <c r="X453" s="294"/>
      <c r="Y453" s="304"/>
      <c r="Z453" s="304"/>
      <c r="AA453" s="304"/>
      <c r="AB453" s="304"/>
      <c r="AC453" s="304"/>
      <c r="AD453" s="304"/>
      <c r="AE453" s="274"/>
      <c r="AF453" s="274"/>
      <c r="AG453" s="274"/>
      <c r="AH453" s="274"/>
      <c r="AI453" s="274"/>
      <c r="AJ453" s="274"/>
      <c r="AK453" s="274"/>
      <c r="AL453" s="274"/>
      <c r="AM453" s="274"/>
      <c r="AN453" s="274"/>
      <c r="AO453" s="274"/>
      <c r="AP453" s="274"/>
      <c r="AQ453" s="274"/>
      <c r="AR453" s="274"/>
      <c r="AS453" s="274"/>
      <c r="AT453" s="274"/>
      <c r="AU453" s="274"/>
      <c r="AV453" s="274"/>
      <c r="AW453" s="274"/>
    </row>
    <row r="454" spans="1:49" s="72" customFormat="1" x14ac:dyDescent="0.2">
      <c r="A454" s="350"/>
      <c r="B454" s="274"/>
      <c r="C454" s="274"/>
      <c r="D454" s="274"/>
      <c r="E454" s="274"/>
      <c r="F454" s="274"/>
      <c r="G454" s="274"/>
      <c r="H454" s="274"/>
      <c r="I454" s="352"/>
      <c r="J454" s="274"/>
      <c r="K454" s="352"/>
      <c r="L454" s="274"/>
      <c r="M454" s="276"/>
      <c r="N454" s="276"/>
      <c r="O454" s="276"/>
      <c r="P454" s="276"/>
      <c r="Q454" s="276"/>
      <c r="R454" s="294"/>
      <c r="S454" s="294"/>
      <c r="T454" s="294"/>
      <c r="U454" s="294"/>
      <c r="V454" s="294"/>
      <c r="W454" s="294"/>
      <c r="X454" s="294"/>
      <c r="Y454" s="304"/>
      <c r="Z454" s="304"/>
      <c r="AA454" s="304"/>
      <c r="AB454" s="304"/>
      <c r="AC454" s="304"/>
      <c r="AD454" s="304"/>
      <c r="AE454" s="274"/>
      <c r="AF454" s="274"/>
      <c r="AG454" s="274"/>
      <c r="AH454" s="274"/>
      <c r="AI454" s="274"/>
      <c r="AJ454" s="274"/>
      <c r="AK454" s="274"/>
      <c r="AL454" s="274"/>
      <c r="AM454" s="274"/>
      <c r="AN454" s="274"/>
      <c r="AO454" s="274"/>
      <c r="AP454" s="274"/>
      <c r="AQ454" s="274"/>
      <c r="AR454" s="274"/>
      <c r="AS454" s="274"/>
      <c r="AT454" s="274"/>
      <c r="AU454" s="274"/>
      <c r="AV454" s="274"/>
      <c r="AW454" s="274"/>
    </row>
    <row r="455" spans="1:49" s="72" customFormat="1" x14ac:dyDescent="0.2">
      <c r="A455" s="350"/>
      <c r="B455" s="274"/>
      <c r="C455" s="274"/>
      <c r="D455" s="274"/>
      <c r="E455" s="274"/>
      <c r="F455" s="274"/>
      <c r="G455" s="274"/>
      <c r="H455" s="274"/>
      <c r="I455" s="352"/>
      <c r="J455" s="274"/>
      <c r="K455" s="352"/>
      <c r="L455" s="274"/>
      <c r="M455" s="276"/>
      <c r="N455" s="276"/>
      <c r="O455" s="276"/>
      <c r="P455" s="276"/>
      <c r="Q455" s="276"/>
      <c r="R455" s="294"/>
      <c r="S455" s="294"/>
      <c r="T455" s="294"/>
      <c r="U455" s="294"/>
      <c r="V455" s="294"/>
      <c r="W455" s="294"/>
      <c r="X455" s="294"/>
      <c r="Y455" s="304"/>
      <c r="Z455" s="304"/>
      <c r="AA455" s="304"/>
      <c r="AB455" s="304"/>
      <c r="AC455" s="304"/>
      <c r="AD455" s="304"/>
      <c r="AE455" s="274"/>
      <c r="AF455" s="274"/>
      <c r="AG455" s="274"/>
      <c r="AH455" s="274"/>
      <c r="AI455" s="274"/>
      <c r="AJ455" s="274"/>
      <c r="AK455" s="274"/>
      <c r="AL455" s="274"/>
      <c r="AM455" s="274"/>
      <c r="AN455" s="274"/>
      <c r="AO455" s="274"/>
      <c r="AP455" s="274"/>
      <c r="AQ455" s="274"/>
      <c r="AR455" s="274"/>
      <c r="AS455" s="274"/>
      <c r="AT455" s="274"/>
      <c r="AU455" s="274"/>
      <c r="AV455" s="274"/>
      <c r="AW455" s="274"/>
    </row>
    <row r="456" spans="1:49" s="72" customFormat="1" x14ac:dyDescent="0.2">
      <c r="A456" s="350"/>
      <c r="B456" s="274"/>
      <c r="C456" s="274"/>
      <c r="D456" s="274"/>
      <c r="E456" s="274"/>
      <c r="F456" s="274"/>
      <c r="G456" s="274"/>
      <c r="H456" s="274"/>
      <c r="I456" s="352"/>
      <c r="J456" s="274"/>
      <c r="K456" s="352"/>
      <c r="L456" s="274"/>
      <c r="M456" s="276"/>
      <c r="N456" s="276"/>
      <c r="O456" s="276"/>
      <c r="P456" s="276"/>
      <c r="Q456" s="276"/>
      <c r="R456" s="294"/>
      <c r="S456" s="294"/>
      <c r="T456" s="294"/>
      <c r="U456" s="294"/>
      <c r="V456" s="294"/>
      <c r="W456" s="294"/>
      <c r="X456" s="294"/>
      <c r="Y456" s="304"/>
      <c r="Z456" s="304"/>
      <c r="AA456" s="304"/>
      <c r="AB456" s="304"/>
      <c r="AC456" s="304"/>
      <c r="AD456" s="304"/>
      <c r="AE456" s="274"/>
      <c r="AF456" s="274"/>
      <c r="AG456" s="274"/>
      <c r="AH456" s="274"/>
      <c r="AI456" s="274"/>
      <c r="AJ456" s="274"/>
      <c r="AK456" s="274"/>
      <c r="AL456" s="274"/>
      <c r="AM456" s="274"/>
      <c r="AN456" s="274"/>
      <c r="AO456" s="274"/>
      <c r="AP456" s="274"/>
      <c r="AQ456" s="274"/>
      <c r="AR456" s="274"/>
      <c r="AS456" s="274"/>
      <c r="AT456" s="274"/>
      <c r="AU456" s="274"/>
      <c r="AV456" s="274"/>
      <c r="AW456" s="274"/>
    </row>
    <row r="457" spans="1:49" s="72" customFormat="1" x14ac:dyDescent="0.2">
      <c r="A457" s="350"/>
      <c r="B457" s="274"/>
      <c r="C457" s="274"/>
      <c r="D457" s="274"/>
      <c r="E457" s="274"/>
      <c r="F457" s="274"/>
      <c r="G457" s="274"/>
      <c r="H457" s="274"/>
      <c r="I457" s="352"/>
      <c r="J457" s="274"/>
      <c r="K457" s="352"/>
      <c r="L457" s="274"/>
      <c r="M457" s="276"/>
      <c r="N457" s="276"/>
      <c r="O457" s="276"/>
      <c r="P457" s="276"/>
      <c r="Q457" s="276"/>
      <c r="R457" s="294"/>
      <c r="S457" s="294"/>
      <c r="T457" s="294"/>
      <c r="U457" s="294"/>
      <c r="V457" s="294"/>
      <c r="W457" s="294"/>
      <c r="X457" s="294"/>
      <c r="Y457" s="304"/>
      <c r="Z457" s="304"/>
      <c r="AA457" s="304"/>
      <c r="AB457" s="304"/>
      <c r="AC457" s="304"/>
      <c r="AD457" s="304"/>
      <c r="AE457" s="274"/>
      <c r="AF457" s="274"/>
      <c r="AG457" s="274"/>
      <c r="AH457" s="274"/>
      <c r="AI457" s="274"/>
      <c r="AJ457" s="274"/>
      <c r="AK457" s="274"/>
      <c r="AL457" s="274"/>
      <c r="AM457" s="274"/>
      <c r="AN457" s="274"/>
      <c r="AO457" s="274"/>
      <c r="AP457" s="274"/>
      <c r="AQ457" s="274"/>
      <c r="AR457" s="274"/>
      <c r="AS457" s="274"/>
      <c r="AT457" s="274"/>
      <c r="AU457" s="274"/>
      <c r="AV457" s="274"/>
      <c r="AW457" s="274"/>
    </row>
    <row r="458" spans="1:49" s="72" customFormat="1" x14ac:dyDescent="0.2">
      <c r="A458" s="350"/>
      <c r="B458" s="274"/>
      <c r="C458" s="274"/>
      <c r="D458" s="274"/>
      <c r="E458" s="274"/>
      <c r="F458" s="274"/>
      <c r="G458" s="274"/>
      <c r="H458" s="274"/>
      <c r="I458" s="352"/>
      <c r="J458" s="274"/>
      <c r="K458" s="352"/>
      <c r="L458" s="274"/>
      <c r="M458" s="276"/>
      <c r="N458" s="276"/>
      <c r="O458" s="276"/>
      <c r="P458" s="276"/>
      <c r="Q458" s="276"/>
      <c r="R458" s="294"/>
      <c r="S458" s="294"/>
      <c r="T458" s="294"/>
      <c r="U458" s="294"/>
      <c r="V458" s="294"/>
      <c r="W458" s="294"/>
      <c r="X458" s="294"/>
      <c r="Y458" s="304"/>
      <c r="Z458" s="304"/>
      <c r="AA458" s="304"/>
      <c r="AB458" s="304"/>
      <c r="AC458" s="304"/>
      <c r="AD458" s="304"/>
      <c r="AE458" s="274"/>
      <c r="AF458" s="274"/>
      <c r="AG458" s="274"/>
      <c r="AH458" s="274"/>
      <c r="AI458" s="274"/>
      <c r="AJ458" s="274"/>
      <c r="AK458" s="274"/>
      <c r="AL458" s="274"/>
      <c r="AM458" s="274"/>
      <c r="AN458" s="274"/>
      <c r="AO458" s="274"/>
      <c r="AP458" s="274"/>
      <c r="AQ458" s="274"/>
      <c r="AR458" s="274"/>
      <c r="AS458" s="274"/>
      <c r="AT458" s="274"/>
      <c r="AU458" s="274"/>
      <c r="AV458" s="274"/>
      <c r="AW458" s="274"/>
    </row>
    <row r="459" spans="1:49" s="72" customFormat="1" x14ac:dyDescent="0.2">
      <c r="A459" s="350"/>
      <c r="B459" s="274"/>
      <c r="C459" s="274"/>
      <c r="D459" s="274"/>
      <c r="E459" s="274"/>
      <c r="F459" s="274"/>
      <c r="G459" s="274"/>
      <c r="H459" s="274"/>
      <c r="I459" s="352"/>
      <c r="J459" s="274"/>
      <c r="K459" s="352"/>
      <c r="L459" s="274"/>
      <c r="M459" s="276"/>
      <c r="N459" s="276"/>
      <c r="O459" s="276"/>
      <c r="P459" s="276"/>
      <c r="Q459" s="276"/>
      <c r="R459" s="294"/>
      <c r="S459" s="294"/>
      <c r="T459" s="294"/>
      <c r="U459" s="294"/>
      <c r="V459" s="294"/>
      <c r="W459" s="294"/>
      <c r="X459" s="294"/>
      <c r="Y459" s="304"/>
      <c r="Z459" s="304"/>
      <c r="AA459" s="304"/>
      <c r="AB459" s="304"/>
      <c r="AC459" s="304"/>
      <c r="AD459" s="304"/>
      <c r="AE459" s="274"/>
      <c r="AF459" s="274"/>
      <c r="AG459" s="274"/>
      <c r="AH459" s="274"/>
      <c r="AI459" s="274"/>
      <c r="AJ459" s="274"/>
      <c r="AK459" s="274"/>
      <c r="AL459" s="274"/>
      <c r="AM459" s="274"/>
      <c r="AN459" s="274"/>
      <c r="AO459" s="274"/>
      <c r="AP459" s="274"/>
      <c r="AQ459" s="274"/>
      <c r="AR459" s="274"/>
      <c r="AS459" s="274"/>
      <c r="AT459" s="274"/>
      <c r="AU459" s="274"/>
      <c r="AV459" s="274"/>
      <c r="AW459" s="274"/>
    </row>
    <row r="460" spans="1:49" s="72" customFormat="1" x14ac:dyDescent="0.2">
      <c r="A460" s="350"/>
      <c r="B460" s="274"/>
      <c r="C460" s="274"/>
      <c r="D460" s="274"/>
      <c r="E460" s="274"/>
      <c r="F460" s="274"/>
      <c r="G460" s="274"/>
      <c r="H460" s="274"/>
      <c r="I460" s="352"/>
      <c r="J460" s="274"/>
      <c r="K460" s="352"/>
      <c r="L460" s="274"/>
      <c r="M460" s="276"/>
      <c r="N460" s="276"/>
      <c r="O460" s="276"/>
      <c r="P460" s="276"/>
      <c r="Q460" s="276"/>
      <c r="R460" s="294"/>
      <c r="S460" s="294"/>
      <c r="T460" s="294"/>
      <c r="U460" s="294"/>
      <c r="V460" s="294"/>
      <c r="W460" s="294"/>
      <c r="X460" s="294"/>
      <c r="Y460" s="304"/>
      <c r="Z460" s="304"/>
      <c r="AA460" s="304"/>
      <c r="AB460" s="304"/>
      <c r="AC460" s="304"/>
      <c r="AD460" s="304"/>
      <c r="AE460" s="274"/>
      <c r="AF460" s="274"/>
      <c r="AG460" s="274"/>
      <c r="AH460" s="274"/>
      <c r="AI460" s="274"/>
      <c r="AJ460" s="274"/>
      <c r="AK460" s="274"/>
      <c r="AL460" s="274"/>
      <c r="AM460" s="274"/>
      <c r="AN460" s="274"/>
      <c r="AO460" s="274"/>
      <c r="AP460" s="274"/>
      <c r="AQ460" s="274"/>
      <c r="AR460" s="274"/>
      <c r="AS460" s="274"/>
      <c r="AT460" s="274"/>
      <c r="AU460" s="274"/>
      <c r="AV460" s="274"/>
      <c r="AW460" s="274"/>
    </row>
    <row r="461" spans="1:49" s="72" customFormat="1" x14ac:dyDescent="0.2">
      <c r="A461" s="350"/>
      <c r="B461" s="274"/>
      <c r="C461" s="274"/>
      <c r="D461" s="274"/>
      <c r="E461" s="274"/>
      <c r="F461" s="274"/>
      <c r="G461" s="274"/>
      <c r="H461" s="274"/>
      <c r="I461" s="352"/>
      <c r="J461" s="274"/>
      <c r="K461" s="352"/>
      <c r="L461" s="274"/>
      <c r="M461" s="276"/>
      <c r="N461" s="276"/>
      <c r="O461" s="276"/>
      <c r="P461" s="276"/>
      <c r="Q461" s="276"/>
      <c r="R461" s="294"/>
      <c r="S461" s="294"/>
      <c r="T461" s="294"/>
      <c r="U461" s="294"/>
      <c r="V461" s="294"/>
      <c r="W461" s="294"/>
      <c r="X461" s="294"/>
      <c r="Y461" s="304"/>
      <c r="Z461" s="304"/>
      <c r="AA461" s="304"/>
      <c r="AB461" s="304"/>
      <c r="AC461" s="304"/>
      <c r="AD461" s="304"/>
      <c r="AE461" s="274"/>
      <c r="AF461" s="274"/>
      <c r="AG461" s="274"/>
      <c r="AH461" s="274"/>
      <c r="AI461" s="274"/>
      <c r="AJ461" s="274"/>
      <c r="AK461" s="274"/>
      <c r="AL461" s="274"/>
      <c r="AM461" s="274"/>
      <c r="AN461" s="274"/>
      <c r="AO461" s="274"/>
      <c r="AP461" s="274"/>
      <c r="AQ461" s="274"/>
      <c r="AR461" s="274"/>
      <c r="AS461" s="274"/>
      <c r="AT461" s="274"/>
      <c r="AU461" s="274"/>
      <c r="AV461" s="274"/>
      <c r="AW461" s="274"/>
    </row>
    <row r="462" spans="1:49" s="72" customFormat="1" x14ac:dyDescent="0.2">
      <c r="A462" s="350"/>
      <c r="B462" s="274"/>
      <c r="C462" s="274"/>
      <c r="D462" s="274"/>
      <c r="E462" s="274"/>
      <c r="F462" s="274"/>
      <c r="G462" s="274"/>
      <c r="H462" s="274"/>
      <c r="I462" s="352"/>
      <c r="J462" s="274"/>
      <c r="K462" s="352"/>
      <c r="L462" s="274"/>
      <c r="M462" s="276"/>
      <c r="N462" s="276"/>
      <c r="O462" s="276"/>
      <c r="P462" s="276"/>
      <c r="Q462" s="276"/>
      <c r="R462" s="294"/>
      <c r="S462" s="294"/>
      <c r="T462" s="294"/>
      <c r="U462" s="294"/>
      <c r="V462" s="294"/>
      <c r="W462" s="294"/>
      <c r="X462" s="294"/>
      <c r="Y462" s="304"/>
      <c r="Z462" s="304"/>
      <c r="AA462" s="304"/>
      <c r="AB462" s="304"/>
      <c r="AC462" s="304"/>
      <c r="AD462" s="304"/>
      <c r="AE462" s="274"/>
      <c r="AF462" s="274"/>
      <c r="AG462" s="274"/>
      <c r="AH462" s="274"/>
      <c r="AI462" s="274"/>
      <c r="AJ462" s="274"/>
      <c r="AK462" s="274"/>
      <c r="AL462" s="274"/>
      <c r="AM462" s="274"/>
      <c r="AN462" s="274"/>
      <c r="AO462" s="274"/>
      <c r="AP462" s="274"/>
      <c r="AQ462" s="274"/>
      <c r="AR462" s="274"/>
      <c r="AS462" s="274"/>
      <c r="AT462" s="274"/>
      <c r="AU462" s="274"/>
      <c r="AV462" s="274"/>
      <c r="AW462" s="274"/>
    </row>
    <row r="463" spans="1:49" s="72" customFormat="1" x14ac:dyDescent="0.2">
      <c r="A463" s="350"/>
      <c r="B463" s="274"/>
      <c r="C463" s="274"/>
      <c r="D463" s="274"/>
      <c r="E463" s="274"/>
      <c r="F463" s="274"/>
      <c r="G463" s="274"/>
      <c r="H463" s="274"/>
      <c r="I463" s="352"/>
      <c r="J463" s="274"/>
      <c r="K463" s="352"/>
      <c r="L463" s="274"/>
      <c r="M463" s="276"/>
      <c r="N463" s="276"/>
      <c r="O463" s="276"/>
      <c r="P463" s="276"/>
      <c r="Q463" s="276"/>
      <c r="R463" s="294"/>
      <c r="S463" s="294"/>
      <c r="T463" s="294"/>
      <c r="U463" s="294"/>
      <c r="V463" s="294"/>
      <c r="W463" s="294"/>
      <c r="X463" s="294"/>
      <c r="Y463" s="304"/>
      <c r="Z463" s="304"/>
      <c r="AA463" s="304"/>
      <c r="AB463" s="304"/>
      <c r="AC463" s="304"/>
      <c r="AD463" s="304"/>
      <c r="AE463" s="274"/>
      <c r="AF463" s="274"/>
      <c r="AG463" s="274"/>
      <c r="AH463" s="274"/>
      <c r="AI463" s="274"/>
      <c r="AJ463" s="274"/>
      <c r="AK463" s="274"/>
      <c r="AL463" s="274"/>
      <c r="AM463" s="274"/>
      <c r="AN463" s="274"/>
      <c r="AO463" s="274"/>
      <c r="AP463" s="274"/>
      <c r="AQ463" s="274"/>
      <c r="AR463" s="274"/>
      <c r="AS463" s="274"/>
      <c r="AT463" s="274"/>
      <c r="AU463" s="274"/>
      <c r="AV463" s="274"/>
      <c r="AW463" s="274"/>
    </row>
    <row r="464" spans="1:49" s="72" customFormat="1" x14ac:dyDescent="0.2">
      <c r="A464" s="350"/>
      <c r="B464" s="274"/>
      <c r="C464" s="274"/>
      <c r="D464" s="274"/>
      <c r="E464" s="274"/>
      <c r="F464" s="274"/>
      <c r="G464" s="274"/>
      <c r="H464" s="274"/>
      <c r="I464" s="352"/>
      <c r="J464" s="274"/>
      <c r="K464" s="352"/>
      <c r="L464" s="274"/>
      <c r="M464" s="276"/>
      <c r="N464" s="276"/>
      <c r="O464" s="276"/>
      <c r="P464" s="276"/>
      <c r="Q464" s="276"/>
      <c r="R464" s="294"/>
      <c r="S464" s="294"/>
      <c r="T464" s="294"/>
      <c r="U464" s="294"/>
      <c r="V464" s="294"/>
      <c r="W464" s="294"/>
      <c r="X464" s="294"/>
      <c r="Y464" s="304"/>
      <c r="Z464" s="304"/>
      <c r="AA464" s="304"/>
      <c r="AB464" s="304"/>
      <c r="AC464" s="304"/>
      <c r="AD464" s="304"/>
      <c r="AE464" s="274"/>
      <c r="AF464" s="274"/>
      <c r="AG464" s="274"/>
      <c r="AH464" s="274"/>
      <c r="AI464" s="274"/>
      <c r="AJ464" s="274"/>
      <c r="AK464" s="274"/>
      <c r="AL464" s="274"/>
      <c r="AM464" s="274"/>
      <c r="AN464" s="274"/>
      <c r="AO464" s="274"/>
      <c r="AP464" s="274"/>
      <c r="AQ464" s="274"/>
      <c r="AR464" s="274"/>
      <c r="AS464" s="274"/>
      <c r="AT464" s="274"/>
      <c r="AU464" s="274"/>
      <c r="AV464" s="274"/>
      <c r="AW464" s="274"/>
    </row>
    <row r="465" spans="1:49" s="72" customFormat="1" x14ac:dyDescent="0.2">
      <c r="A465" s="350"/>
      <c r="B465" s="274"/>
      <c r="C465" s="274"/>
      <c r="D465" s="274"/>
      <c r="E465" s="274"/>
      <c r="F465" s="274"/>
      <c r="G465" s="274"/>
      <c r="H465" s="274"/>
      <c r="I465" s="352"/>
      <c r="J465" s="274"/>
      <c r="K465" s="352"/>
      <c r="L465" s="274"/>
      <c r="M465" s="276"/>
      <c r="N465" s="276"/>
      <c r="O465" s="276"/>
      <c r="P465" s="276"/>
      <c r="Q465" s="276"/>
      <c r="R465" s="294"/>
      <c r="S465" s="294"/>
      <c r="T465" s="294"/>
      <c r="U465" s="294"/>
      <c r="V465" s="294"/>
      <c r="W465" s="294"/>
      <c r="X465" s="294"/>
      <c r="Y465" s="304"/>
      <c r="Z465" s="304"/>
      <c r="AA465" s="304"/>
      <c r="AB465" s="304"/>
      <c r="AC465" s="304"/>
      <c r="AD465" s="304"/>
      <c r="AE465" s="274"/>
      <c r="AF465" s="274"/>
      <c r="AG465" s="274"/>
      <c r="AH465" s="274"/>
      <c r="AI465" s="274"/>
      <c r="AJ465" s="274"/>
      <c r="AK465" s="274"/>
      <c r="AL465" s="274"/>
      <c r="AM465" s="274"/>
      <c r="AN465" s="274"/>
      <c r="AO465" s="274"/>
      <c r="AP465" s="274"/>
      <c r="AQ465" s="274"/>
      <c r="AR465" s="274"/>
      <c r="AS465" s="274"/>
      <c r="AT465" s="274"/>
      <c r="AU465" s="274"/>
      <c r="AV465" s="274"/>
      <c r="AW465" s="274"/>
    </row>
    <row r="466" spans="1:49" s="72" customFormat="1" x14ac:dyDescent="0.2">
      <c r="A466" s="350"/>
      <c r="B466" s="274"/>
      <c r="C466" s="274"/>
      <c r="D466" s="274"/>
      <c r="E466" s="274"/>
      <c r="F466" s="274"/>
      <c r="G466" s="274"/>
      <c r="H466" s="274"/>
      <c r="I466" s="352"/>
      <c r="J466" s="274"/>
      <c r="K466" s="352"/>
      <c r="L466" s="274"/>
      <c r="M466" s="276"/>
      <c r="N466" s="276"/>
      <c r="O466" s="276"/>
      <c r="P466" s="276"/>
      <c r="Q466" s="276"/>
      <c r="R466" s="294"/>
      <c r="S466" s="294"/>
      <c r="T466" s="294"/>
      <c r="U466" s="294"/>
      <c r="V466" s="294"/>
      <c r="W466" s="294"/>
      <c r="X466" s="294"/>
      <c r="Y466" s="304"/>
      <c r="Z466" s="304"/>
      <c r="AA466" s="304"/>
      <c r="AB466" s="304"/>
      <c r="AC466" s="304"/>
      <c r="AD466" s="304"/>
      <c r="AE466" s="274"/>
      <c r="AF466" s="274"/>
      <c r="AG466" s="274"/>
      <c r="AH466" s="274"/>
      <c r="AI466" s="274"/>
      <c r="AJ466" s="274"/>
      <c r="AK466" s="274"/>
      <c r="AL466" s="274"/>
      <c r="AM466" s="274"/>
      <c r="AN466" s="274"/>
      <c r="AO466" s="274"/>
      <c r="AP466" s="274"/>
      <c r="AQ466" s="274"/>
      <c r="AR466" s="274"/>
      <c r="AS466" s="274"/>
      <c r="AT466" s="274"/>
      <c r="AU466" s="274"/>
      <c r="AV466" s="274"/>
      <c r="AW466" s="274"/>
    </row>
    <row r="467" spans="1:49" s="72" customFormat="1" x14ac:dyDescent="0.2">
      <c r="A467" s="350"/>
      <c r="B467" s="274"/>
      <c r="C467" s="274"/>
      <c r="D467" s="274"/>
      <c r="E467" s="274"/>
      <c r="F467" s="274"/>
      <c r="G467" s="274"/>
      <c r="H467" s="274"/>
      <c r="I467" s="352"/>
      <c r="J467" s="274"/>
      <c r="K467" s="352"/>
      <c r="L467" s="274"/>
      <c r="M467" s="276"/>
      <c r="N467" s="276"/>
      <c r="O467" s="276"/>
      <c r="P467" s="276"/>
      <c r="Q467" s="276"/>
      <c r="R467" s="294"/>
      <c r="S467" s="294"/>
      <c r="T467" s="294"/>
      <c r="U467" s="294"/>
      <c r="V467" s="294"/>
      <c r="W467" s="294"/>
      <c r="X467" s="294"/>
      <c r="Y467" s="304"/>
      <c r="Z467" s="304"/>
      <c r="AA467" s="304"/>
      <c r="AB467" s="304"/>
      <c r="AC467" s="304"/>
      <c r="AD467" s="304"/>
      <c r="AE467" s="274"/>
      <c r="AF467" s="274"/>
      <c r="AG467" s="274"/>
      <c r="AH467" s="274"/>
      <c r="AI467" s="274"/>
      <c r="AJ467" s="274"/>
      <c r="AK467" s="274"/>
      <c r="AL467" s="274"/>
      <c r="AM467" s="274"/>
      <c r="AN467" s="274"/>
      <c r="AO467" s="274"/>
      <c r="AP467" s="274"/>
      <c r="AQ467" s="274"/>
      <c r="AR467" s="274"/>
      <c r="AS467" s="274"/>
      <c r="AT467" s="274"/>
      <c r="AU467" s="274"/>
      <c r="AV467" s="274"/>
      <c r="AW467" s="274"/>
    </row>
    <row r="468" spans="1:49" s="72" customFormat="1" x14ac:dyDescent="0.2">
      <c r="A468" s="350"/>
      <c r="B468" s="274"/>
      <c r="C468" s="274"/>
      <c r="D468" s="274"/>
      <c r="E468" s="274"/>
      <c r="F468" s="274"/>
      <c r="G468" s="274"/>
      <c r="H468" s="274"/>
      <c r="I468" s="352"/>
      <c r="J468" s="274"/>
      <c r="K468" s="352"/>
      <c r="L468" s="274"/>
      <c r="M468" s="276"/>
      <c r="N468" s="276"/>
      <c r="O468" s="276"/>
      <c r="P468" s="276"/>
      <c r="Q468" s="276"/>
      <c r="R468" s="294"/>
      <c r="S468" s="294"/>
      <c r="T468" s="294"/>
      <c r="U468" s="294"/>
      <c r="V468" s="294"/>
      <c r="W468" s="294"/>
      <c r="X468" s="294"/>
      <c r="Y468" s="304"/>
      <c r="Z468" s="304"/>
      <c r="AA468" s="304"/>
      <c r="AB468" s="304"/>
      <c r="AC468" s="304"/>
      <c r="AD468" s="304"/>
      <c r="AE468" s="274"/>
      <c r="AF468" s="274"/>
      <c r="AG468" s="274"/>
      <c r="AH468" s="274"/>
      <c r="AI468" s="274"/>
      <c r="AJ468" s="274"/>
      <c r="AK468" s="274"/>
      <c r="AL468" s="274"/>
      <c r="AM468" s="274"/>
      <c r="AN468" s="274"/>
      <c r="AO468" s="274"/>
      <c r="AP468" s="274"/>
      <c r="AQ468" s="274"/>
      <c r="AR468" s="274"/>
      <c r="AS468" s="274"/>
      <c r="AT468" s="274"/>
      <c r="AU468" s="274"/>
      <c r="AV468" s="274"/>
      <c r="AW468" s="274"/>
    </row>
    <row r="469" spans="1:49" s="72" customFormat="1" x14ac:dyDescent="0.2">
      <c r="A469" s="350"/>
      <c r="B469" s="274"/>
      <c r="C469" s="274"/>
      <c r="D469" s="274"/>
      <c r="E469" s="274"/>
      <c r="F469" s="274"/>
      <c r="G469" s="274"/>
      <c r="H469" s="274"/>
      <c r="I469" s="352"/>
      <c r="J469" s="274"/>
      <c r="K469" s="352"/>
      <c r="L469" s="274"/>
      <c r="M469" s="276"/>
      <c r="N469" s="276"/>
      <c r="O469" s="276"/>
      <c r="P469" s="276"/>
      <c r="Q469" s="276"/>
      <c r="R469" s="294"/>
      <c r="S469" s="294"/>
      <c r="T469" s="294"/>
      <c r="U469" s="294"/>
      <c r="V469" s="294"/>
      <c r="W469" s="294"/>
      <c r="X469" s="294"/>
      <c r="Y469" s="304"/>
      <c r="Z469" s="304"/>
      <c r="AA469" s="304"/>
      <c r="AB469" s="304"/>
      <c r="AC469" s="304"/>
      <c r="AD469" s="304"/>
      <c r="AE469" s="274"/>
      <c r="AF469" s="274"/>
      <c r="AG469" s="274"/>
      <c r="AH469" s="274"/>
      <c r="AI469" s="274"/>
      <c r="AJ469" s="274"/>
      <c r="AK469" s="274"/>
      <c r="AL469" s="274"/>
      <c r="AM469" s="274"/>
      <c r="AN469" s="274"/>
      <c r="AO469" s="274"/>
      <c r="AP469" s="274"/>
      <c r="AQ469" s="274"/>
      <c r="AR469" s="274"/>
      <c r="AS469" s="274"/>
      <c r="AT469" s="274"/>
      <c r="AU469" s="274"/>
      <c r="AV469" s="274"/>
      <c r="AW469" s="274"/>
    </row>
    <row r="470" spans="1:49" s="72" customFormat="1" x14ac:dyDescent="0.2">
      <c r="A470" s="350"/>
      <c r="B470" s="274"/>
      <c r="C470" s="274"/>
      <c r="D470" s="274"/>
      <c r="E470" s="274"/>
      <c r="F470" s="274"/>
      <c r="G470" s="274"/>
      <c r="H470" s="274"/>
      <c r="I470" s="352"/>
      <c r="J470" s="274"/>
      <c r="K470" s="352"/>
      <c r="L470" s="274"/>
      <c r="M470" s="276"/>
      <c r="N470" s="276"/>
      <c r="O470" s="276"/>
      <c r="P470" s="276"/>
      <c r="Q470" s="276"/>
      <c r="R470" s="294"/>
      <c r="S470" s="294"/>
      <c r="T470" s="294"/>
      <c r="U470" s="294"/>
      <c r="V470" s="294"/>
      <c r="W470" s="294"/>
      <c r="X470" s="294"/>
      <c r="Y470" s="304"/>
      <c r="Z470" s="304"/>
      <c r="AA470" s="304"/>
      <c r="AB470" s="304"/>
      <c r="AC470" s="304"/>
      <c r="AD470" s="304"/>
      <c r="AE470" s="274"/>
      <c r="AF470" s="274"/>
      <c r="AG470" s="274"/>
      <c r="AH470" s="274"/>
      <c r="AI470" s="274"/>
      <c r="AJ470" s="274"/>
      <c r="AK470" s="274"/>
      <c r="AL470" s="274"/>
      <c r="AM470" s="274"/>
      <c r="AN470" s="274"/>
      <c r="AO470" s="274"/>
      <c r="AP470" s="274"/>
      <c r="AQ470" s="274"/>
      <c r="AR470" s="274"/>
      <c r="AS470" s="274"/>
      <c r="AT470" s="274"/>
      <c r="AU470" s="274"/>
      <c r="AV470" s="274"/>
      <c r="AW470" s="274"/>
    </row>
    <row r="471" spans="1:49" s="72" customFormat="1" x14ac:dyDescent="0.2">
      <c r="A471" s="350"/>
      <c r="B471" s="274"/>
      <c r="C471" s="274"/>
      <c r="D471" s="274"/>
      <c r="E471" s="274"/>
      <c r="F471" s="274"/>
      <c r="G471" s="274"/>
      <c r="H471" s="274"/>
      <c r="I471" s="352"/>
      <c r="J471" s="274"/>
      <c r="K471" s="352"/>
      <c r="L471" s="274"/>
      <c r="M471" s="276"/>
      <c r="N471" s="276"/>
      <c r="O471" s="276"/>
      <c r="P471" s="276"/>
      <c r="Q471" s="276"/>
      <c r="R471" s="294"/>
      <c r="S471" s="294"/>
      <c r="T471" s="294"/>
      <c r="U471" s="294"/>
      <c r="V471" s="294"/>
      <c r="W471" s="294"/>
      <c r="X471" s="294"/>
      <c r="Y471" s="304"/>
      <c r="Z471" s="304"/>
      <c r="AA471" s="304"/>
      <c r="AB471" s="304"/>
      <c r="AC471" s="304"/>
      <c r="AD471" s="304"/>
      <c r="AE471" s="274"/>
      <c r="AF471" s="274"/>
      <c r="AG471" s="274"/>
      <c r="AH471" s="274"/>
      <c r="AI471" s="274"/>
      <c r="AJ471" s="274"/>
      <c r="AK471" s="274"/>
      <c r="AL471" s="274"/>
      <c r="AM471" s="274"/>
      <c r="AN471" s="274"/>
      <c r="AO471" s="274"/>
      <c r="AP471" s="274"/>
      <c r="AQ471" s="274"/>
      <c r="AR471" s="274"/>
      <c r="AS471" s="274"/>
      <c r="AT471" s="274"/>
      <c r="AU471" s="274"/>
      <c r="AV471" s="274"/>
      <c r="AW471" s="274"/>
    </row>
    <row r="472" spans="1:49" s="72" customFormat="1" x14ac:dyDescent="0.2">
      <c r="A472" s="350"/>
      <c r="B472" s="274"/>
      <c r="C472" s="274"/>
      <c r="D472" s="274"/>
      <c r="E472" s="274"/>
      <c r="F472" s="274"/>
      <c r="G472" s="274"/>
      <c r="H472" s="274"/>
      <c r="I472" s="352"/>
      <c r="J472" s="274"/>
      <c r="K472" s="352"/>
      <c r="L472" s="274"/>
      <c r="M472" s="276"/>
      <c r="N472" s="276"/>
      <c r="O472" s="276"/>
      <c r="P472" s="276"/>
      <c r="Q472" s="276"/>
      <c r="R472" s="294"/>
      <c r="S472" s="294"/>
      <c r="T472" s="294"/>
      <c r="U472" s="294"/>
      <c r="V472" s="294"/>
      <c r="W472" s="294"/>
      <c r="X472" s="294"/>
      <c r="Y472" s="304"/>
      <c r="Z472" s="304"/>
      <c r="AA472" s="304"/>
      <c r="AB472" s="304"/>
      <c r="AC472" s="304"/>
      <c r="AD472" s="304"/>
      <c r="AE472" s="274"/>
      <c r="AF472" s="274"/>
      <c r="AG472" s="274"/>
      <c r="AH472" s="274"/>
      <c r="AI472" s="274"/>
      <c r="AJ472" s="274"/>
      <c r="AK472" s="274"/>
      <c r="AL472" s="274"/>
      <c r="AM472" s="274"/>
      <c r="AN472" s="274"/>
      <c r="AO472" s="274"/>
      <c r="AP472" s="274"/>
      <c r="AQ472" s="274"/>
      <c r="AR472" s="274"/>
      <c r="AS472" s="274"/>
      <c r="AT472" s="274"/>
      <c r="AU472" s="274"/>
      <c r="AV472" s="274"/>
      <c r="AW472" s="274"/>
    </row>
    <row r="473" spans="1:49" s="72" customFormat="1" x14ac:dyDescent="0.2">
      <c r="A473" s="350"/>
      <c r="B473" s="274"/>
      <c r="C473" s="274"/>
      <c r="D473" s="274"/>
      <c r="E473" s="274"/>
      <c r="F473" s="274"/>
      <c r="G473" s="274"/>
      <c r="H473" s="274"/>
      <c r="I473" s="352"/>
      <c r="J473" s="274"/>
      <c r="K473" s="352"/>
      <c r="L473" s="274"/>
      <c r="M473" s="276"/>
      <c r="N473" s="276"/>
      <c r="O473" s="276"/>
      <c r="P473" s="276"/>
      <c r="Q473" s="276"/>
      <c r="R473" s="294"/>
      <c r="S473" s="294"/>
      <c r="T473" s="294"/>
      <c r="U473" s="294"/>
      <c r="V473" s="294"/>
      <c r="W473" s="294"/>
      <c r="X473" s="294"/>
      <c r="Y473" s="304"/>
      <c r="Z473" s="304"/>
      <c r="AA473" s="304"/>
      <c r="AB473" s="304"/>
      <c r="AC473" s="304"/>
      <c r="AD473" s="304"/>
      <c r="AE473" s="274"/>
      <c r="AF473" s="274"/>
      <c r="AG473" s="274"/>
      <c r="AH473" s="274"/>
      <c r="AI473" s="274"/>
      <c r="AJ473" s="274"/>
      <c r="AK473" s="274"/>
      <c r="AL473" s="274"/>
      <c r="AM473" s="274"/>
      <c r="AN473" s="274"/>
      <c r="AO473" s="274"/>
      <c r="AP473" s="274"/>
      <c r="AQ473" s="274"/>
      <c r="AR473" s="274"/>
      <c r="AS473" s="274"/>
      <c r="AT473" s="274"/>
      <c r="AU473" s="274"/>
      <c r="AV473" s="274"/>
      <c r="AW473" s="274"/>
    </row>
    <row r="474" spans="1:49" s="72" customFormat="1" x14ac:dyDescent="0.2">
      <c r="A474" s="350"/>
      <c r="B474" s="274"/>
      <c r="C474" s="274"/>
      <c r="D474" s="274"/>
      <c r="E474" s="274"/>
      <c r="F474" s="274"/>
      <c r="G474" s="274"/>
      <c r="H474" s="274"/>
      <c r="I474" s="352"/>
      <c r="J474" s="274"/>
      <c r="K474" s="352"/>
      <c r="L474" s="274"/>
      <c r="M474" s="276"/>
      <c r="N474" s="276"/>
      <c r="O474" s="276"/>
      <c r="P474" s="276"/>
      <c r="Q474" s="276"/>
      <c r="R474" s="294"/>
      <c r="S474" s="294"/>
      <c r="T474" s="294"/>
      <c r="U474" s="294"/>
      <c r="V474" s="294"/>
      <c r="W474" s="294"/>
      <c r="X474" s="294"/>
      <c r="Y474" s="304"/>
      <c r="Z474" s="304"/>
      <c r="AA474" s="304"/>
      <c r="AB474" s="304"/>
      <c r="AC474" s="304"/>
      <c r="AD474" s="304"/>
      <c r="AE474" s="274"/>
      <c r="AF474" s="274"/>
      <c r="AG474" s="274"/>
      <c r="AH474" s="274"/>
      <c r="AI474" s="274"/>
      <c r="AJ474" s="274"/>
      <c r="AK474" s="274"/>
      <c r="AL474" s="274"/>
      <c r="AM474" s="274"/>
      <c r="AN474" s="274"/>
      <c r="AO474" s="274"/>
      <c r="AP474" s="274"/>
      <c r="AQ474" s="274"/>
      <c r="AR474" s="274"/>
      <c r="AS474" s="274"/>
      <c r="AT474" s="274"/>
      <c r="AU474" s="274"/>
      <c r="AV474" s="274"/>
      <c r="AW474" s="274"/>
    </row>
    <row r="475" spans="1:49" s="72" customFormat="1" x14ac:dyDescent="0.2">
      <c r="A475" s="350"/>
      <c r="B475" s="274"/>
      <c r="C475" s="274"/>
      <c r="D475" s="274"/>
      <c r="E475" s="274"/>
      <c r="F475" s="274"/>
      <c r="G475" s="274"/>
      <c r="H475" s="274"/>
      <c r="I475" s="352"/>
      <c r="J475" s="274"/>
      <c r="K475" s="352"/>
      <c r="L475" s="274"/>
      <c r="M475" s="276"/>
      <c r="N475" s="276"/>
      <c r="O475" s="276"/>
      <c r="P475" s="276"/>
      <c r="Q475" s="276"/>
      <c r="R475" s="294"/>
      <c r="S475" s="294"/>
      <c r="T475" s="294"/>
      <c r="U475" s="294"/>
      <c r="V475" s="294"/>
      <c r="W475" s="294"/>
      <c r="X475" s="294"/>
      <c r="Y475" s="304"/>
      <c r="Z475" s="304"/>
      <c r="AA475" s="304"/>
      <c r="AB475" s="304"/>
      <c r="AC475" s="304"/>
      <c r="AD475" s="304"/>
      <c r="AE475" s="274"/>
      <c r="AF475" s="274"/>
      <c r="AG475" s="274"/>
      <c r="AH475" s="274"/>
      <c r="AI475" s="274"/>
      <c r="AJ475" s="274"/>
      <c r="AK475" s="274"/>
      <c r="AL475" s="274"/>
      <c r="AM475" s="274"/>
      <c r="AN475" s="274"/>
      <c r="AO475" s="274"/>
      <c r="AP475" s="274"/>
      <c r="AQ475" s="274"/>
      <c r="AR475" s="274"/>
      <c r="AS475" s="274"/>
      <c r="AT475" s="274"/>
      <c r="AU475" s="274"/>
      <c r="AV475" s="274"/>
      <c r="AW475" s="274"/>
    </row>
    <row r="476" spans="1:49" s="72" customFormat="1" x14ac:dyDescent="0.2">
      <c r="A476" s="325"/>
      <c r="B476" s="71"/>
      <c r="C476" s="71"/>
      <c r="D476" s="71"/>
      <c r="E476" s="71"/>
      <c r="F476" s="71"/>
      <c r="G476" s="71"/>
      <c r="H476" s="71"/>
      <c r="I476" s="78"/>
      <c r="J476" s="71"/>
      <c r="K476" s="78"/>
      <c r="L476" s="275"/>
      <c r="M476" s="294"/>
      <c r="N476" s="294"/>
      <c r="O476" s="294"/>
      <c r="P476" s="294"/>
      <c r="Q476" s="294"/>
      <c r="R476" s="294"/>
      <c r="S476" s="294"/>
      <c r="T476" s="294"/>
      <c r="U476" s="294"/>
      <c r="V476" s="294"/>
      <c r="W476" s="294"/>
      <c r="X476" s="294"/>
      <c r="Y476" s="304"/>
      <c r="Z476" s="304"/>
      <c r="AA476" s="304"/>
      <c r="AB476" s="304"/>
      <c r="AC476" s="304"/>
      <c r="AD476" s="304"/>
      <c r="AE476" s="274"/>
      <c r="AF476" s="274"/>
      <c r="AG476" s="274"/>
      <c r="AH476" s="274"/>
      <c r="AI476" s="274"/>
      <c r="AJ476" s="274"/>
      <c r="AK476" s="274"/>
      <c r="AL476" s="274"/>
      <c r="AM476" s="274"/>
      <c r="AN476" s="274"/>
      <c r="AO476" s="274"/>
      <c r="AP476" s="274"/>
      <c r="AQ476" s="274"/>
      <c r="AR476" s="274"/>
      <c r="AS476" s="274"/>
      <c r="AT476" s="274"/>
      <c r="AU476" s="274"/>
      <c r="AV476" s="274"/>
      <c r="AW476" s="274"/>
    </row>
    <row r="477" spans="1:49" s="72" customFormat="1" x14ac:dyDescent="0.2">
      <c r="A477" s="325"/>
      <c r="B477" s="71"/>
      <c r="C477" s="71"/>
      <c r="D477" s="71"/>
      <c r="E477" s="71"/>
      <c r="F477" s="71"/>
      <c r="G477" s="71"/>
      <c r="H477" s="71"/>
      <c r="I477" s="78"/>
      <c r="J477" s="71"/>
      <c r="K477" s="78"/>
      <c r="L477" s="275"/>
      <c r="M477" s="294"/>
      <c r="N477" s="294"/>
      <c r="O477" s="294"/>
      <c r="P477" s="294"/>
      <c r="Q477" s="294"/>
      <c r="R477" s="294"/>
      <c r="S477" s="294"/>
      <c r="T477" s="294"/>
      <c r="U477" s="294"/>
      <c r="V477" s="294"/>
      <c r="W477" s="294"/>
      <c r="X477" s="294"/>
      <c r="Y477" s="304"/>
      <c r="Z477" s="304"/>
      <c r="AA477" s="304"/>
      <c r="AB477" s="304"/>
      <c r="AC477" s="304"/>
      <c r="AD477" s="304"/>
      <c r="AE477" s="274"/>
      <c r="AF477" s="274"/>
      <c r="AG477" s="274"/>
      <c r="AH477" s="274"/>
      <c r="AI477" s="274"/>
      <c r="AJ477" s="274"/>
      <c r="AK477" s="274"/>
      <c r="AL477" s="274"/>
      <c r="AM477" s="274"/>
      <c r="AN477" s="274"/>
      <c r="AO477" s="274"/>
      <c r="AP477" s="274"/>
      <c r="AQ477" s="274"/>
      <c r="AR477" s="274"/>
      <c r="AS477" s="274"/>
      <c r="AT477" s="274"/>
      <c r="AU477" s="274"/>
      <c r="AV477" s="274"/>
      <c r="AW477" s="274"/>
    </row>
    <row r="478" spans="1:49" s="72" customFormat="1" x14ac:dyDescent="0.2">
      <c r="A478" s="325"/>
      <c r="B478" s="71"/>
      <c r="C478" s="71"/>
      <c r="D478" s="71"/>
      <c r="E478" s="71"/>
      <c r="F478" s="71"/>
      <c r="G478" s="71"/>
      <c r="H478" s="71"/>
      <c r="I478" s="78"/>
      <c r="J478" s="71"/>
      <c r="K478" s="78"/>
      <c r="L478" s="275"/>
      <c r="M478" s="294"/>
      <c r="N478" s="294"/>
      <c r="O478" s="294"/>
      <c r="P478" s="294"/>
      <c r="Q478" s="294"/>
      <c r="R478" s="294"/>
      <c r="S478" s="294"/>
      <c r="T478" s="294"/>
      <c r="U478" s="294"/>
      <c r="V478" s="294"/>
      <c r="W478" s="294"/>
      <c r="X478" s="294"/>
      <c r="Y478" s="304"/>
      <c r="Z478" s="304"/>
      <c r="AA478" s="304"/>
      <c r="AB478" s="304"/>
      <c r="AC478" s="304"/>
      <c r="AD478" s="304"/>
      <c r="AE478" s="274"/>
      <c r="AF478" s="274"/>
      <c r="AG478" s="274"/>
      <c r="AH478" s="274"/>
      <c r="AI478" s="274"/>
      <c r="AJ478" s="274"/>
      <c r="AK478" s="274"/>
      <c r="AL478" s="274"/>
      <c r="AM478" s="274"/>
      <c r="AN478" s="274"/>
      <c r="AO478" s="274"/>
      <c r="AP478" s="274"/>
      <c r="AQ478" s="274"/>
      <c r="AR478" s="274"/>
      <c r="AS478" s="274"/>
      <c r="AT478" s="274"/>
      <c r="AU478" s="274"/>
      <c r="AV478" s="274"/>
      <c r="AW478" s="274"/>
    </row>
    <row r="479" spans="1:49" s="72" customFormat="1" x14ac:dyDescent="0.2">
      <c r="A479" s="325"/>
      <c r="B479" s="71"/>
      <c r="C479" s="71"/>
      <c r="D479" s="71"/>
      <c r="E479" s="71"/>
      <c r="F479" s="71"/>
      <c r="G479" s="71"/>
      <c r="H479" s="71"/>
      <c r="I479" s="78"/>
      <c r="J479" s="71"/>
      <c r="K479" s="78"/>
      <c r="L479" s="275"/>
      <c r="M479" s="294"/>
      <c r="N479" s="294"/>
      <c r="O479" s="294"/>
      <c r="P479" s="294"/>
      <c r="Q479" s="294"/>
      <c r="R479" s="294"/>
      <c r="S479" s="294"/>
      <c r="T479" s="294"/>
      <c r="U479" s="294"/>
      <c r="V479" s="294"/>
      <c r="W479" s="294"/>
      <c r="X479" s="294"/>
      <c r="Y479" s="304"/>
      <c r="Z479" s="304"/>
      <c r="AA479" s="304"/>
      <c r="AB479" s="304"/>
      <c r="AC479" s="304"/>
      <c r="AD479" s="304"/>
      <c r="AE479" s="274"/>
      <c r="AF479" s="274"/>
      <c r="AG479" s="274"/>
      <c r="AH479" s="274"/>
      <c r="AI479" s="274"/>
      <c r="AJ479" s="274"/>
      <c r="AK479" s="274"/>
      <c r="AL479" s="274"/>
      <c r="AM479" s="274"/>
      <c r="AN479" s="274"/>
      <c r="AO479" s="274"/>
      <c r="AP479" s="274"/>
      <c r="AQ479" s="274"/>
      <c r="AR479" s="274"/>
      <c r="AS479" s="274"/>
      <c r="AT479" s="274"/>
      <c r="AU479" s="274"/>
      <c r="AV479" s="274"/>
      <c r="AW479" s="274"/>
    </row>
    <row r="480" spans="1:49" s="72" customFormat="1" x14ac:dyDescent="0.2">
      <c r="A480" s="325"/>
      <c r="B480" s="71"/>
      <c r="C480" s="71"/>
      <c r="D480" s="71"/>
      <c r="E480" s="71"/>
      <c r="F480" s="71"/>
      <c r="G480" s="71"/>
      <c r="H480" s="71"/>
      <c r="I480" s="78"/>
      <c r="J480" s="71"/>
      <c r="K480" s="78"/>
      <c r="L480" s="275"/>
      <c r="M480" s="294"/>
      <c r="N480" s="294"/>
      <c r="O480" s="294"/>
      <c r="P480" s="294"/>
      <c r="Q480" s="294"/>
      <c r="R480" s="294"/>
      <c r="S480" s="294"/>
      <c r="T480" s="294"/>
      <c r="U480" s="294"/>
      <c r="V480" s="294"/>
      <c r="W480" s="294"/>
      <c r="X480" s="294"/>
      <c r="Y480" s="304"/>
      <c r="Z480" s="304"/>
      <c r="AA480" s="304"/>
      <c r="AB480" s="304"/>
      <c r="AC480" s="304"/>
      <c r="AD480" s="304"/>
      <c r="AE480" s="274"/>
      <c r="AF480" s="274"/>
      <c r="AG480" s="274"/>
      <c r="AH480" s="274"/>
      <c r="AI480" s="274"/>
      <c r="AJ480" s="274"/>
      <c r="AK480" s="274"/>
      <c r="AL480" s="274"/>
      <c r="AM480" s="274"/>
      <c r="AN480" s="274"/>
      <c r="AO480" s="274"/>
      <c r="AP480" s="274"/>
      <c r="AQ480" s="274"/>
      <c r="AR480" s="274"/>
      <c r="AS480" s="274"/>
      <c r="AT480" s="274"/>
      <c r="AU480" s="274"/>
      <c r="AV480" s="274"/>
      <c r="AW480" s="274"/>
    </row>
  </sheetData>
  <mergeCells count="59">
    <mergeCell ref="J408:K410"/>
    <mergeCell ref="M8:U8"/>
    <mergeCell ref="A8:I8"/>
    <mergeCell ref="C392:D392"/>
    <mergeCell ref="C378:D378"/>
    <mergeCell ref="C391:D391"/>
    <mergeCell ref="J333:K336"/>
    <mergeCell ref="J337:K340"/>
    <mergeCell ref="J329:K332"/>
    <mergeCell ref="C288:D288"/>
    <mergeCell ref="C39:D39"/>
    <mergeCell ref="C102:D102"/>
    <mergeCell ref="A151:D151"/>
    <mergeCell ref="C216:D216"/>
    <mergeCell ref="B47:D47"/>
    <mergeCell ref="C210:D210"/>
    <mergeCell ref="C387:D387"/>
    <mergeCell ref="C388:D388"/>
    <mergeCell ref="C217:D217"/>
    <mergeCell ref="J316:K318"/>
    <mergeCell ref="G344:I345"/>
    <mergeCell ref="C271:D271"/>
    <mergeCell ref="G225:I228"/>
    <mergeCell ref="G279:I282"/>
    <mergeCell ref="C270:D270"/>
    <mergeCell ref="J273:K275"/>
    <mergeCell ref="C342:D342"/>
    <mergeCell ref="C343:D343"/>
    <mergeCell ref="B218:H219"/>
    <mergeCell ref="J323:K327"/>
    <mergeCell ref="J341:K344"/>
    <mergeCell ref="C377:D377"/>
    <mergeCell ref="C346:D346"/>
    <mergeCell ref="C358:D358"/>
    <mergeCell ref="C354:D354"/>
    <mergeCell ref="C357:D357"/>
    <mergeCell ref="J19:K26"/>
    <mergeCell ref="J149:K149"/>
    <mergeCell ref="C1:G1"/>
    <mergeCell ref="B2:G2"/>
    <mergeCell ref="B3:G3"/>
    <mergeCell ref="B4:G4"/>
    <mergeCell ref="J33:K36"/>
    <mergeCell ref="G147:I148"/>
    <mergeCell ref="J100:K103"/>
    <mergeCell ref="C36:D36"/>
    <mergeCell ref="A76:I78"/>
    <mergeCell ref="J2:K4"/>
    <mergeCell ref="M44:S46"/>
    <mergeCell ref="G47:I47"/>
    <mergeCell ref="J155:K157"/>
    <mergeCell ref="J345:K348"/>
    <mergeCell ref="J360:K364"/>
    <mergeCell ref="J354:K356"/>
    <mergeCell ref="J350:K351"/>
    <mergeCell ref="B154:H155"/>
    <mergeCell ref="C234:D234"/>
    <mergeCell ref="B272:H273"/>
    <mergeCell ref="C264:D264"/>
  </mergeCells>
  <phoneticPr fontId="10" type="noConversion"/>
  <conditionalFormatting sqref="G356 G153 G239:G254 G260:G264 G103:G104">
    <cfRule type="cellIs" dxfId="132" priority="63" stopIfTrue="1" operator="equal">
      <formula>"NG"</formula>
    </cfRule>
  </conditionalFormatting>
  <conditionalFormatting sqref="G354">
    <cfRule type="cellIs" dxfId="131" priority="58" stopIfTrue="1" operator="equal">
      <formula>"NG"</formula>
    </cfRule>
  </conditionalFormatting>
  <conditionalFormatting sqref="G358">
    <cfRule type="cellIs" dxfId="130" priority="59" stopIfTrue="1" operator="equal">
      <formula>"NG"</formula>
    </cfRule>
  </conditionalFormatting>
  <conditionalFormatting sqref="G297">
    <cfRule type="cellIs" dxfId="129" priority="55" stopIfTrue="1" operator="equal">
      <formula>"NG"</formula>
    </cfRule>
  </conditionalFormatting>
  <conditionalFormatting sqref="G304">
    <cfRule type="cellIs" dxfId="128" priority="53" stopIfTrue="1" operator="equal">
      <formula>"NG"</formula>
    </cfRule>
  </conditionalFormatting>
  <conditionalFormatting sqref="G177">
    <cfRule type="cellIs" dxfId="127" priority="51" stopIfTrue="1" operator="equal">
      <formula>"NG"</formula>
    </cfRule>
  </conditionalFormatting>
  <conditionalFormatting sqref="G206">
    <cfRule type="cellIs" dxfId="126" priority="50" stopIfTrue="1" operator="equal">
      <formula>"NG"</formula>
    </cfRule>
  </conditionalFormatting>
  <conditionalFormatting sqref="G230 G237">
    <cfRule type="cellIs" dxfId="125" priority="49" stopIfTrue="1" operator="equal">
      <formula>"NG"</formula>
    </cfRule>
  </conditionalFormatting>
  <conditionalFormatting sqref="G311">
    <cfRule type="cellIs" dxfId="124" priority="47" stopIfTrue="1" operator="equal">
      <formula>"NG"</formula>
    </cfRule>
  </conditionalFormatting>
  <conditionalFormatting sqref="G318">
    <cfRule type="cellIs" dxfId="123" priority="46" stopIfTrue="1" operator="equal">
      <formula>"NG"</formula>
    </cfRule>
  </conditionalFormatting>
  <conditionalFormatting sqref="G390">
    <cfRule type="cellIs" dxfId="122" priority="45" stopIfTrue="1" operator="equal">
      <formula>"NG"</formula>
    </cfRule>
  </conditionalFormatting>
  <conditionalFormatting sqref="G389">
    <cfRule type="cellIs" dxfId="121" priority="43" stopIfTrue="1" operator="equal">
      <formula>"NG"</formula>
    </cfRule>
  </conditionalFormatting>
  <conditionalFormatting sqref="G392">
    <cfRule type="cellIs" dxfId="120" priority="44" stopIfTrue="1" operator="equal">
      <formula>"NG"</formula>
    </cfRule>
  </conditionalFormatting>
  <conditionalFormatting sqref="G266:G267">
    <cfRule type="cellIs" dxfId="119" priority="38" stopIfTrue="1" operator="equal">
      <formula>"NG"</formula>
    </cfRule>
  </conditionalFormatting>
  <conditionalFormatting sqref="G284">
    <cfRule type="cellIs" dxfId="118" priority="37" stopIfTrue="1" operator="equal">
      <formula>"NG"</formula>
    </cfRule>
  </conditionalFormatting>
  <conditionalFormatting sqref="E214">
    <cfRule type="cellIs" dxfId="117" priority="39" stopIfTrue="1" operator="equal">
      <formula>"NG"</formula>
    </cfRule>
  </conditionalFormatting>
  <conditionalFormatting sqref="E268">
    <cfRule type="cellIs" dxfId="116" priority="31" stopIfTrue="1" operator="equal">
      <formula>"NG"</formula>
    </cfRule>
  </conditionalFormatting>
  <conditionalFormatting sqref="G355">
    <cfRule type="cellIs" dxfId="115" priority="30" stopIfTrue="1" operator="equal">
      <formula>"NG"</formula>
    </cfRule>
  </conditionalFormatting>
  <conditionalFormatting sqref="Q257">
    <cfRule type="cellIs" dxfId="114" priority="29" stopIfTrue="1" operator="equal">
      <formula>"NG"</formula>
    </cfRule>
  </conditionalFormatting>
  <conditionalFormatting sqref="Q258">
    <cfRule type="cellIs" dxfId="113" priority="28" stopIfTrue="1" operator="equal">
      <formula>"NG"</formula>
    </cfRule>
  </conditionalFormatting>
  <conditionalFormatting sqref="G285:G288">
    <cfRule type="cellIs" dxfId="112" priority="27" stopIfTrue="1" operator="equal">
      <formula>"NG"</formula>
    </cfRule>
  </conditionalFormatting>
  <conditionalFormatting sqref="G290:G291">
    <cfRule type="cellIs" dxfId="111" priority="26" stopIfTrue="1" operator="equal">
      <formula>"NG"</formula>
    </cfRule>
  </conditionalFormatting>
  <conditionalFormatting sqref="G103 G153 G177 G206 G230 G260 G266 G284 G290 G297 G304 G311 G318 G355 G358 G392 G389">
    <cfRule type="containsText" dxfId="110" priority="13" operator="containsText" text="OK">
      <formula>NOT(ISERROR(SEARCH("OK",G103)))</formula>
    </cfRule>
  </conditionalFormatting>
  <conditionalFormatting sqref="B154:H155">
    <cfRule type="beginsWith" dxfId="109" priority="11" operator="beginsWith" text="All piles">
      <formula>LEFT(B154,LEN("All piles"))="All piles"</formula>
    </cfRule>
    <cfRule type="beginsWith" dxfId="108" priority="12" operator="beginsWith" text="There">
      <formula>LEFT(B154,LEN("There"))="There"</formula>
    </cfRule>
  </conditionalFormatting>
  <conditionalFormatting sqref="G207:G210">
    <cfRule type="cellIs" dxfId="107" priority="10" stopIfTrue="1" operator="equal">
      <formula>"NG"</formula>
    </cfRule>
  </conditionalFormatting>
  <conditionalFormatting sqref="G212:G213">
    <cfRule type="cellIs" dxfId="106" priority="9" stopIfTrue="1" operator="equal">
      <formula>"NG"</formula>
    </cfRule>
  </conditionalFormatting>
  <conditionalFormatting sqref="G212:G213">
    <cfRule type="containsText" dxfId="105" priority="8" operator="containsText" text="OK">
      <formula>NOT(ISERROR(SEARCH("OK",G212)))</formula>
    </cfRule>
  </conditionalFormatting>
  <conditionalFormatting sqref="G231:G234">
    <cfRule type="cellIs" dxfId="104" priority="7" stopIfTrue="1" operator="equal">
      <formula>"NG"</formula>
    </cfRule>
  </conditionalFormatting>
  <conditionalFormatting sqref="G236">
    <cfRule type="cellIs" dxfId="103" priority="6" stopIfTrue="1" operator="equal">
      <formula>"NG"</formula>
    </cfRule>
  </conditionalFormatting>
  <conditionalFormatting sqref="G236">
    <cfRule type="containsText" dxfId="102" priority="5" operator="containsText" text="OK">
      <formula>NOT(ISERROR(SEARCH("OK",G236)))</formula>
    </cfRule>
  </conditionalFormatting>
  <conditionalFormatting sqref="B218:H219">
    <cfRule type="beginsWith" dxfId="101" priority="3" operator="beginsWith" text="w/d&gt;">
      <formula>LEFT(B218,LEN("w/d&gt;"))="w/d&gt;"</formula>
    </cfRule>
    <cfRule type="beginsWith" dxfId="100" priority="4" operator="beginsWith" text="w/d&lt;">
      <formula>LEFT(B218,LEN("w/d&lt;"))="w/d&lt;"</formula>
    </cfRule>
  </conditionalFormatting>
  <conditionalFormatting sqref="B272:H273">
    <cfRule type="beginsWith" dxfId="99" priority="1" operator="beginsWith" text="w/d&gt;">
      <formula>LEFT(B272,LEN("w/d&gt;"))="w/d&gt;"</formula>
    </cfRule>
    <cfRule type="beginsWith" dxfId="98" priority="2" operator="beginsWith" text="w/d&lt;">
      <formula>LEFT(B272,LEN("w/d&lt;"))="w/d&lt;"</formula>
    </cfRule>
  </conditionalFormatting>
  <dataValidations count="2">
    <dataValidation type="list" allowBlank="1" showDropDown="1" showInputMessage="1" showErrorMessage="1" sqref="N49:N72">
      <formula1>$N$49:$N$50</formula1>
    </dataValidation>
    <dataValidation type="list" allowBlank="1" showInputMessage="1" showErrorMessage="1" errorTitle="Warning!" error="Invalid input for number of piles_x000a_(must input a value between 2 and 25)" sqref="F45">
      <formula1>$M$49:$M$72</formula1>
    </dataValidation>
  </dataValidations>
  <pageMargins left="0.7" right="0.7" top="0.75" bottom="0.75" header="0.3" footer="0.3"/>
  <pageSetup scale="86" orientation="portrait" r:id="rId1"/>
  <headerFooter alignWithMargins="0">
    <oddHeader xml:space="preserve">&amp;R
</oddHeader>
    <oddFooter>&amp;C&amp;P of &amp;N&amp;R&amp;D  &amp;T</oddFooter>
  </headerFooter>
  <rowBreaks count="10" manualBreakCount="10">
    <brk id="40" max="16383" man="1"/>
    <brk id="97" max="16383" man="1"/>
    <brk id="126" max="16383" man="1"/>
    <brk id="177" max="16383" man="1"/>
    <brk id="236" max="16383" man="1"/>
    <brk id="292" max="16383" man="1"/>
    <brk id="320" max="16383" man="1"/>
    <brk id="358" max="10" man="1"/>
    <brk id="394" max="10" man="1"/>
    <brk id="438" max="10" man="1"/>
  </rowBreaks>
  <drawing r:id="rId2"/>
  <legacy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extLst>
    <ext xmlns:x14="http://schemas.microsoft.com/office/spreadsheetml/2009/9/main" uri="{CCE6A557-97BC-4b89-ADB6-D9C93CAAB3DF}">
      <x14:dataValidations xmlns:xm="http://schemas.microsoft.com/office/excel/2006/main" count="5">
        <x14:dataValidation type="list" allowBlank="1" showInputMessage="1" showErrorMessage="1">
          <x14:formula1>
            <xm:f>'PILECAP WKST'!$A$81:$A$88</xm:f>
          </x14:formula1>
          <xm:sqref>F353 F387</xm:sqref>
        </x14:dataValidation>
        <x14:dataValidation type="list" allowBlank="1" showInputMessage="1" showErrorMessage="1">
          <x14:formula1>
            <xm:f>'PILECAP WKST'!$A$124:$A$127</xm:f>
          </x14:formula1>
          <xm:sqref>E36</xm:sqref>
        </x14:dataValidation>
        <x14:dataValidation type="list" allowBlank="1" showInputMessage="1" showErrorMessage="1">
          <x14:formula1>
            <xm:f>'PILECAP WKST'!$W$1:$W$2</xm:f>
          </x14:formula1>
          <xm:sqref>E285 E231 E207</xm:sqref>
        </x14:dataValidation>
        <x14:dataValidation type="list" allowBlank="1" showInputMessage="1" showErrorMessage="1">
          <x14:formula1>
            <xm:f>'PILECAP WKST'!$A$80:$A$83</xm:f>
          </x14:formula1>
          <xm:sqref>E208 E232 E262 E286</xm:sqref>
        </x14:dataValidation>
        <x14:dataValidation type="list" allowBlank="1" showInputMessage="1" showErrorMessage="1">
          <x14:formula1>
            <xm:f>'PILECAP WKST'!W1:W2</xm:f>
          </x14:formula1>
          <xm:sqref>E261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L363"/>
  <sheetViews>
    <sheetView topLeftCell="A67" workbookViewId="0">
      <selection activeCell="P16" sqref="P16"/>
    </sheetView>
  </sheetViews>
  <sheetFormatPr defaultRowHeight="12.75" x14ac:dyDescent="0.2"/>
  <cols>
    <col min="1" max="1" width="8.42578125" style="87" customWidth="1"/>
    <col min="2" max="3" width="8.42578125" style="218" customWidth="1"/>
    <col min="4" max="21" width="8.42578125" style="87" customWidth="1"/>
    <col min="22" max="22" width="8.42578125" style="88" customWidth="1"/>
    <col min="23" max="28" width="8.42578125" style="87" customWidth="1"/>
    <col min="29" max="36" width="9.140625" style="87"/>
    <col min="37" max="37" width="9.140625" style="87" customWidth="1"/>
    <col min="38" max="38" width="9.140625" style="87"/>
    <col min="39" max="16384" width="9.140625" style="89"/>
  </cols>
  <sheetData>
    <row r="1" spans="1:25" x14ac:dyDescent="0.2">
      <c r="A1" s="86" t="s">
        <v>0</v>
      </c>
      <c r="D1" s="86"/>
      <c r="W1" s="87" t="s">
        <v>162</v>
      </c>
    </row>
    <row r="2" spans="1:25" x14ac:dyDescent="0.2">
      <c r="A2" s="90"/>
      <c r="B2" s="219"/>
      <c r="C2" s="219"/>
      <c r="D2" s="90"/>
      <c r="E2" s="90"/>
      <c r="F2" s="90"/>
      <c r="G2" s="90"/>
      <c r="H2" s="90"/>
      <c r="I2" s="90"/>
      <c r="J2" s="91" t="s">
        <v>22</v>
      </c>
      <c r="K2" s="91" t="s">
        <v>24</v>
      </c>
      <c r="L2" s="91"/>
      <c r="M2" s="91"/>
      <c r="N2" s="91"/>
      <c r="O2" s="91" t="s">
        <v>24</v>
      </c>
      <c r="P2" s="91"/>
      <c r="Q2" s="91"/>
      <c r="R2" s="91"/>
      <c r="S2" s="91" t="s">
        <v>24</v>
      </c>
      <c r="T2" s="88"/>
      <c r="U2" s="88"/>
      <c r="W2" s="88" t="s">
        <v>163</v>
      </c>
      <c r="X2" s="88"/>
      <c r="Y2" s="88"/>
    </row>
    <row r="3" spans="1:25" x14ac:dyDescent="0.2">
      <c r="A3" s="90"/>
      <c r="B3" s="220" t="s">
        <v>9</v>
      </c>
      <c r="C3" s="219"/>
      <c r="D3" s="92" t="s">
        <v>11</v>
      </c>
      <c r="E3" s="90"/>
      <c r="F3" s="90"/>
      <c r="G3" s="92" t="s">
        <v>6</v>
      </c>
      <c r="H3" s="90"/>
      <c r="I3" s="90"/>
      <c r="J3" s="92" t="s">
        <v>105</v>
      </c>
      <c r="K3" s="92" t="s">
        <v>51</v>
      </c>
      <c r="L3" s="91"/>
      <c r="M3" s="91"/>
      <c r="N3" s="91"/>
      <c r="O3" s="92" t="s">
        <v>173</v>
      </c>
      <c r="P3" s="91"/>
      <c r="Q3" s="91"/>
      <c r="R3" s="91"/>
      <c r="S3" s="92" t="s">
        <v>174</v>
      </c>
      <c r="T3" s="88"/>
      <c r="U3" s="88"/>
      <c r="W3" s="88"/>
      <c r="X3" s="88"/>
      <c r="Y3" s="88"/>
    </row>
    <row r="4" spans="1:25" x14ac:dyDescent="0.2">
      <c r="A4" s="12" t="s">
        <v>10</v>
      </c>
      <c r="B4" s="85" t="s">
        <v>12</v>
      </c>
      <c r="C4" s="85" t="s">
        <v>13</v>
      </c>
      <c r="D4" s="88" t="s">
        <v>17</v>
      </c>
      <c r="E4" s="88" t="s">
        <v>18</v>
      </c>
      <c r="F4" s="88" t="s">
        <v>19</v>
      </c>
      <c r="G4" s="88" t="s">
        <v>3</v>
      </c>
      <c r="H4" s="88" t="s">
        <v>4</v>
      </c>
      <c r="I4" s="91" t="s">
        <v>38</v>
      </c>
      <c r="J4" s="91"/>
      <c r="K4" s="91" t="s">
        <v>183</v>
      </c>
      <c r="L4" s="91" t="s">
        <v>184</v>
      </c>
      <c r="M4" s="91" t="s">
        <v>185</v>
      </c>
      <c r="N4" s="91" t="s">
        <v>186</v>
      </c>
      <c r="O4" s="91" t="s">
        <v>183</v>
      </c>
      <c r="P4" s="91" t="s">
        <v>184</v>
      </c>
      <c r="Q4" s="91" t="s">
        <v>185</v>
      </c>
      <c r="R4" s="91" t="s">
        <v>186</v>
      </c>
      <c r="S4" s="91" t="s">
        <v>183</v>
      </c>
      <c r="T4" s="91" t="s">
        <v>184</v>
      </c>
      <c r="U4" s="91" t="s">
        <v>185</v>
      </c>
      <c r="V4" s="91" t="s">
        <v>186</v>
      </c>
    </row>
    <row r="5" spans="1:25" x14ac:dyDescent="0.2">
      <c r="A5" s="88">
        <v>1</v>
      </c>
      <c r="B5" s="85">
        <f ca="1">IF('DESIGN CRIT'!$F$45&gt;=1,$C35+0.000001-$B$68,"")</f>
        <v>-2.9999989999999999</v>
      </c>
      <c r="C5" s="85">
        <f ca="1">IF('DESIGN CRIT'!$F$45&gt;=1,$B35+0.000001-$B$67,"")</f>
        <v>-4.4999989999999999</v>
      </c>
      <c r="D5" s="85">
        <f ca="1">IF('DESIGN CRIT'!$F$45&gt;=1,$B5^2,"")</f>
        <v>8.9999940000009993</v>
      </c>
      <c r="E5" s="85">
        <f ca="1">IF('DESIGN CRIT'!$F$45&gt;=1,$C5^2,"")</f>
        <v>20.249991000001</v>
      </c>
      <c r="F5" s="85">
        <f ca="1">IF('DESIGN CRIT'!$F$45&gt;=1,$B5*$C5,"")</f>
        <v>13.499992500000999</v>
      </c>
      <c r="G5" s="93">
        <f ca="1">IF('DESIGN CRIT'!$F$45&gt;=1,$B35-$B$67,"")</f>
        <v>-4.5</v>
      </c>
      <c r="H5" s="93">
        <f ca="1">IF('DESIGN CRIT'!$F$45&gt;=1,$C35-$B$68,"")</f>
        <v>-3</v>
      </c>
      <c r="I5" s="93">
        <f ca="1">IF(A5&lt;='DESIGN CRIT'!$F$45,SQRT(G5*G5+H5*H5),"")</f>
        <v>5.4083269131959844</v>
      </c>
      <c r="J5" s="88">
        <f ca="1">IF(A5&gt;np,"",IF(AND(ABS(G5)&lt;('DESIGN CRIT'!$E$30+'DESIGN CRIT'!$E$151)/12/2,ABS(H5)&lt;('DESIGN CRIT'!$E$30+'DESIGN CRIT'!$E$151)/12/2),"",'DESIGN CRIT'!D49*lf))</f>
        <v>160</v>
      </c>
      <c r="K5" s="85">
        <f ca="1">IF(A5&lt;=np,IF(G5&lt;0,'DESIGN CRIT'!D49*(G5+'DESIGN CRIT'!$E$30/2/12-pt/12-ct/12)*lf,),"")</f>
        <v>-613.33333333333337</v>
      </c>
      <c r="L5" s="85">
        <f ca="1">IF(A5&lt;=np,IF(G5&gt;0,'DESIGN CRIT'!D49*(G5-'DESIGN CRIT'!$E$30/2/12+pt/12+ct/12)*lf,),"")</f>
        <v>0</v>
      </c>
      <c r="M5" s="85">
        <f ca="1">IF(A5&lt;=np,IF(H5&gt;0,'DESIGN CRIT'!D49*(H5-'DESIGN CRIT'!$E$30/2/12+pt/12+ct/12)*lf,),"")</f>
        <v>0</v>
      </c>
      <c r="N5" s="85">
        <f ca="1">IF(A5&lt;=np,IF(H5&lt;0,'DESIGN CRIT'!D49*(H5+'DESIGN CRIT'!$E$30/2/12-pt/12-ct/12)*lf,),"")</f>
        <v>-373.33333333333337</v>
      </c>
      <c r="O5" s="85">
        <f ca="1">IF(A5&lt;=np,IF(G5&lt;0,'DESIGN CRIT'!D49*(G5-pt/12-ct/12)*lf,),"")</f>
        <v>-760</v>
      </c>
      <c r="P5" s="85">
        <f ca="1">IF(A5&lt;=np,IF(G5&gt;0,'DESIGN CRIT'!D49*(G5+pt/12+ct/12)*lf,),"")</f>
        <v>0</v>
      </c>
      <c r="Q5" s="88">
        <f ca="1">IF(A5&lt;=np,IF(H5&gt;0,'DESIGN CRIT'!D49*(H5+pt/12+ct/12)*lf,),"")</f>
        <v>0</v>
      </c>
      <c r="R5" s="88">
        <f ca="1">IF(A5&lt;=np,IF(H5&lt;0,'DESIGN CRIT'!D49*(H5-pt/12-ct/12)*lf,),"")</f>
        <v>-520</v>
      </c>
      <c r="S5" s="88">
        <f ca="1">IF(A5&lt;=np,IF(G5&lt;0,'DESIGN CRIT'!D49*(G5-pt/12-ct/12+cdim/4/12)*lf,),"")</f>
        <v>-686.66666666666674</v>
      </c>
      <c r="T5" s="88">
        <f ca="1">IF(A5&lt;=np,IF(G5&gt;0,'DESIGN CRIT'!D49*(G5+pt/12+ct/12-cdim/4/12)*lf,),"")</f>
        <v>0</v>
      </c>
      <c r="U5" s="88">
        <f ca="1">IF(A5&lt;=np,IF(H5&gt;0,'DESIGN CRIT'!D49*(H5+pt/12+ct/12-cdim/4/12)*lf,),"")</f>
        <v>0</v>
      </c>
      <c r="V5" s="94">
        <f ca="1">IF(A5&lt;=np,IF(H5&lt;0,'DESIGN CRIT'!D49*(H5-pt/12-ct/12+cdim/4/12)*lf,),"")</f>
        <v>-446.66666666666663</v>
      </c>
    </row>
    <row r="6" spans="1:25" x14ac:dyDescent="0.2">
      <c r="A6" s="88">
        <v>2</v>
      </c>
      <c r="B6" s="85">
        <f ca="1">IF('DESIGN CRIT'!$F$45&gt;=2,$C36-$B$68,"")</f>
        <v>-3</v>
      </c>
      <c r="C6" s="85">
        <f ca="1">IF('DESIGN CRIT'!$F$45&gt;=2,$B36-$B$67,"")</f>
        <v>-1.5</v>
      </c>
      <c r="D6" s="85">
        <f ca="1">IF('DESIGN CRIT'!$F$45&gt;=2,$B6^2,"")</f>
        <v>9</v>
      </c>
      <c r="E6" s="85">
        <f ca="1">IF('DESIGN CRIT'!$F$45&gt;=2,$C6^2,"")</f>
        <v>2.25</v>
      </c>
      <c r="F6" s="85">
        <f ca="1">IF('DESIGN CRIT'!$F$45&gt;=2,$B6*$C6,"")</f>
        <v>4.5</v>
      </c>
      <c r="G6" s="93">
        <f ca="1">IF('DESIGN CRIT'!$F$45&gt;=2,$B36-$B$67,"")</f>
        <v>-1.5</v>
      </c>
      <c r="H6" s="93">
        <f ca="1">IF('DESIGN CRIT'!$F$45&gt;=2,$C36-$B$68,"")</f>
        <v>-3</v>
      </c>
      <c r="I6" s="93">
        <f ca="1">IF(A6&lt;='DESIGN CRIT'!$F$45,SQRT(G6*G6+H6*H6),"")</f>
        <v>3.3541019662496847</v>
      </c>
      <c r="J6" s="88">
        <f ca="1">IF(A6&gt;np,"",IF(AND(ABS(G6)&lt;('DESIGN CRIT'!$E$30+'DESIGN CRIT'!$E$151)/12/2,ABS(H6)&lt;('DESIGN CRIT'!$E$30+'DESIGN CRIT'!$E$151)/12/2),"",'DESIGN CRIT'!D50*lf))</f>
        <v>160</v>
      </c>
      <c r="K6" s="85">
        <f ca="1">IF(A6&lt;=np,IF(G6&lt;0,'DESIGN CRIT'!D50*(G6+'DESIGN CRIT'!$E$30/2/12-pt/12-ct/12)*lf,),"")</f>
        <v>-133.33333333333334</v>
      </c>
      <c r="L6" s="85">
        <f ca="1">IF(A6&lt;=np,IF(G6&gt;0,'DESIGN CRIT'!D50*(G6-'DESIGN CRIT'!$E$30/2/12+pt/12+ct/12)*lf,),"")</f>
        <v>0</v>
      </c>
      <c r="M6" s="85">
        <f ca="1">IF(A6&lt;=np,IF(H6&gt;0,'DESIGN CRIT'!D50*(H6-'DESIGN CRIT'!$E$30/2/12+pt/12+ct/12)*lf,),"")</f>
        <v>0</v>
      </c>
      <c r="N6" s="85">
        <f ca="1">IF(A6&lt;=np,IF(H6&lt;0,'DESIGN CRIT'!D50*(H6+'DESIGN CRIT'!$E$30/2/12-pt/12-ct/12)*lf,),"")</f>
        <v>-373.33333333333337</v>
      </c>
      <c r="O6" s="85">
        <f ca="1">IF(A6&lt;=np,IF(G6&lt;0,'DESIGN CRIT'!D50*(G6-pt/12-ct/12)*lf,),"")</f>
        <v>-280</v>
      </c>
      <c r="P6" s="85">
        <f ca="1">IF(A6&lt;=np,IF(G6&gt;0,'DESIGN CRIT'!D50*(G6+pt/12+ct/12)*lf,),"")</f>
        <v>0</v>
      </c>
      <c r="Q6" s="88">
        <f ca="1">IF(A6&lt;=np,IF(H6&gt;0,'DESIGN CRIT'!D50*(H6+pt/12+ct/12)*lf,),"")</f>
        <v>0</v>
      </c>
      <c r="R6" s="88">
        <f ca="1">IF(A6&lt;=np,IF(H6&lt;0,'DESIGN CRIT'!D50*(H6-pt/12-ct/12)*lf,),"")</f>
        <v>-520</v>
      </c>
      <c r="S6" s="88">
        <f ca="1">IF(A6&lt;=np,IF(G6&lt;0,'DESIGN CRIT'!D50*(G6-pt/12-ct/12+cdim/4/12)*lf,),"")</f>
        <v>-206.66666666666671</v>
      </c>
      <c r="T6" s="88">
        <f ca="1">IF(A6&lt;=np,IF(G6&gt;0,'DESIGN CRIT'!D50*(G6+pt/12+ct/12-cdim/4/12)*lf,),"")</f>
        <v>0</v>
      </c>
      <c r="U6" s="88">
        <f ca="1">IF(A6&lt;=np,IF(H6&gt;0,'DESIGN CRIT'!D50*(H6+pt/12+ct/12-cdim/4/12)*lf,),"")</f>
        <v>0</v>
      </c>
      <c r="V6" s="94">
        <f ca="1">IF(A6&lt;=np,IF(H6&lt;0,'DESIGN CRIT'!D50*(H6-pt/12-ct/12+cdim/4/12)*lf,),"")</f>
        <v>-446.66666666666663</v>
      </c>
    </row>
    <row r="7" spans="1:25" x14ac:dyDescent="0.2">
      <c r="A7" s="88">
        <v>3</v>
      </c>
      <c r="B7" s="85">
        <f ca="1">IF('DESIGN CRIT'!$F$45&gt;=3,$C37-$B$68,"")</f>
        <v>-3</v>
      </c>
      <c r="C7" s="85">
        <f ca="1">IF('DESIGN CRIT'!$F$45&gt;=3,$B37-$B$67,"")</f>
        <v>1.5</v>
      </c>
      <c r="D7" s="85">
        <f ca="1">IF('DESIGN CRIT'!$F$45&gt;=3,$B7^2,"")</f>
        <v>9</v>
      </c>
      <c r="E7" s="85">
        <f ca="1">IF('DESIGN CRIT'!$F$45&gt;=3,$C7^2,"")</f>
        <v>2.25</v>
      </c>
      <c r="F7" s="85">
        <f ca="1">IF('DESIGN CRIT'!$F$45&gt;=3,$B7*$C7,"")</f>
        <v>-4.5</v>
      </c>
      <c r="G7" s="93">
        <f ca="1">IF('DESIGN CRIT'!$F$45&gt;=3,$B37-$B$67,"")</f>
        <v>1.5</v>
      </c>
      <c r="H7" s="93">
        <f ca="1">IF('DESIGN CRIT'!$F$45&gt;=3,$C37-$B$68,"")</f>
        <v>-3</v>
      </c>
      <c r="I7" s="93">
        <f ca="1">IF(A7&lt;='DESIGN CRIT'!$F$45,SQRT(G7*G7+H7*H7),"")</f>
        <v>3.3541019662496847</v>
      </c>
      <c r="J7" s="88">
        <f ca="1">IF(A7&gt;np,"",IF(AND(ABS(G7)&lt;('DESIGN CRIT'!$E$30+'DESIGN CRIT'!$E$151)/12/2,ABS(H7)&lt;('DESIGN CRIT'!$E$30+'DESIGN CRIT'!$E$151)/12/2),"",'DESIGN CRIT'!D51*lf))</f>
        <v>160</v>
      </c>
      <c r="K7" s="85">
        <f ca="1">IF(A7&lt;=np,IF(G7&lt;0,'DESIGN CRIT'!D51*(G7+'DESIGN CRIT'!$E$30/2/12-pt/12-ct/12)*lf,),"")</f>
        <v>0</v>
      </c>
      <c r="L7" s="85">
        <f ca="1">IF(A7&lt;=np,IF(G7&gt;0,'DESIGN CRIT'!D51*(G7-'DESIGN CRIT'!$E$30/2/12+pt/12+ct/12)*lf,),"")</f>
        <v>133.33333333333334</v>
      </c>
      <c r="M7" s="85">
        <f ca="1">IF(A7&lt;=np,IF(H7&gt;0,'DESIGN CRIT'!D51*(H7-'DESIGN CRIT'!$E$30/2/12+pt/12+ct/12)*lf,),"")</f>
        <v>0</v>
      </c>
      <c r="N7" s="85">
        <f ca="1">IF(A7&lt;=np,IF(H7&lt;0,'DESIGN CRIT'!D51*(H7+'DESIGN CRIT'!$E$30/2/12-pt/12-ct/12)*lf,),"")</f>
        <v>-373.33333333333337</v>
      </c>
      <c r="O7" s="85">
        <f ca="1">IF(A7&lt;=np,IF(G7&lt;0,'DESIGN CRIT'!D51*(G7-pt/12-ct/12)*lf,),"")</f>
        <v>0</v>
      </c>
      <c r="P7" s="85">
        <f ca="1">IF(A7&lt;=np,IF(G7&gt;0,'DESIGN CRIT'!D51*(G7+pt/12+ct/12)*lf,),"")</f>
        <v>280</v>
      </c>
      <c r="Q7" s="88">
        <f ca="1">IF(A7&lt;=np,IF(H7&gt;0,'DESIGN CRIT'!D51*(H7+pt/12+ct/12)*lf,),"")</f>
        <v>0</v>
      </c>
      <c r="R7" s="88">
        <f ca="1">IF(A7&lt;=np,IF(H7&lt;0,'DESIGN CRIT'!D51*(H7-pt/12-ct/12)*lf,),"")</f>
        <v>-520</v>
      </c>
      <c r="S7" s="88">
        <f ca="1">IF(A7&lt;=np,IF(G7&lt;0,'DESIGN CRIT'!D51*(G7-pt/12-ct/12+cdim/4/12)*lf,),"")</f>
        <v>0</v>
      </c>
      <c r="T7" s="88">
        <f ca="1">IF(A7&lt;=np,IF(G7&gt;0,'DESIGN CRIT'!D51*(G7+pt/12+ct/12-cdim/4/12)*lf,),"")</f>
        <v>206.66666666666671</v>
      </c>
      <c r="U7" s="88">
        <f ca="1">IF(A7&lt;=np,IF(H7&gt;0,'DESIGN CRIT'!D51*(H7+pt/12+ct/12-cdim/4/12)*lf,),"")</f>
        <v>0</v>
      </c>
      <c r="V7" s="94">
        <f ca="1">IF(A7&lt;=np,IF(H7&lt;0,'DESIGN CRIT'!D51*(H7-pt/12-ct/12+cdim/4/12)*lf,),"")</f>
        <v>-446.66666666666663</v>
      </c>
    </row>
    <row r="8" spans="1:25" x14ac:dyDescent="0.2">
      <c r="A8" s="88">
        <v>4</v>
      </c>
      <c r="B8" s="85">
        <f ca="1">IF('DESIGN CRIT'!$F$45&gt;=4,$C38-$B$68,"")</f>
        <v>-3</v>
      </c>
      <c r="C8" s="85">
        <f ca="1">IF('DESIGN CRIT'!$F$45&gt;=4,$B38-$B$67,"")</f>
        <v>4.5</v>
      </c>
      <c r="D8" s="85">
        <f ca="1">IF('DESIGN CRIT'!$F$45&gt;=4,$B8^2,"")</f>
        <v>9</v>
      </c>
      <c r="E8" s="85">
        <f ca="1">IF('DESIGN CRIT'!$F$45&gt;=4,$C8^2,"")</f>
        <v>20.25</v>
      </c>
      <c r="F8" s="85">
        <f ca="1">IF('DESIGN CRIT'!$F$45&gt;=4,$B8*$C8,"")</f>
        <v>-13.5</v>
      </c>
      <c r="G8" s="93">
        <f ca="1">IF('DESIGN CRIT'!$F$45&gt;=4,$B38-$B$67,"")</f>
        <v>4.5</v>
      </c>
      <c r="H8" s="93">
        <f ca="1">IF('DESIGN CRIT'!$F$45&gt;=4,$C38-$B$68,"")</f>
        <v>-3</v>
      </c>
      <c r="I8" s="93">
        <f ca="1">IF(A8&lt;='DESIGN CRIT'!$F$45,SQRT(G8*G8+H8*H8),"")</f>
        <v>5.4083269131959844</v>
      </c>
      <c r="J8" s="88">
        <f ca="1">IF(A8&gt;np,"",IF(AND(ABS(G8)&lt;('DESIGN CRIT'!$E$30+'DESIGN CRIT'!$E$151)/12/2,ABS(H8)&lt;('DESIGN CRIT'!$E$30+'DESIGN CRIT'!$E$151)/12/2),"",'DESIGN CRIT'!D52*lf))</f>
        <v>160</v>
      </c>
      <c r="K8" s="85">
        <f ca="1">IF(A8&lt;=np,IF(G8&lt;0,'DESIGN CRIT'!D52*(G8+'DESIGN CRIT'!$E$30/2/12-pt/12-ct/12)*lf,),"")</f>
        <v>0</v>
      </c>
      <c r="L8" s="85">
        <f ca="1">IF(A8&lt;=np,IF(G8&gt;0,'DESIGN CRIT'!D52*(G8-'DESIGN CRIT'!$E$30/2/12+pt/12+ct/12)*lf,),"")</f>
        <v>613.33333333333337</v>
      </c>
      <c r="M8" s="85">
        <f ca="1">IF(A8&lt;=np,IF(H8&gt;0,'DESIGN CRIT'!D52*(H8-'DESIGN CRIT'!$E$30/2/12+pt/12+ct/12)*lf,),"")</f>
        <v>0</v>
      </c>
      <c r="N8" s="85">
        <f ca="1">IF(A8&lt;=np,IF(H8&lt;0,'DESIGN CRIT'!D52*(H8+'DESIGN CRIT'!$E$30/2/12-pt/12-ct/12)*lf,),"")</f>
        <v>-373.33333333333337</v>
      </c>
      <c r="O8" s="85">
        <f ca="1">IF(A8&lt;=np,IF(G8&lt;0,'DESIGN CRIT'!D52*(G8-pt/12-ct/12)*lf,),"")</f>
        <v>0</v>
      </c>
      <c r="P8" s="85">
        <f ca="1">IF(A8&lt;=np,IF(G8&gt;0,'DESIGN CRIT'!D52*(G8+pt/12+ct/12)*lf,),"")</f>
        <v>760</v>
      </c>
      <c r="Q8" s="88">
        <f ca="1">IF(A8&lt;=np,IF(H8&gt;0,'DESIGN CRIT'!D52*(H8+pt/12+ct/12)*lf,),"")</f>
        <v>0</v>
      </c>
      <c r="R8" s="88">
        <f ca="1">IF(A8&lt;=np,IF(H8&lt;0,'DESIGN CRIT'!D52*(H8-pt/12-ct/12)*lf,),"")</f>
        <v>-520</v>
      </c>
      <c r="S8" s="88">
        <f ca="1">IF(A8&lt;=np,IF(G8&lt;0,'DESIGN CRIT'!D52*(G8-pt/12-ct/12+cdim/4/12)*lf,),"")</f>
        <v>0</v>
      </c>
      <c r="T8" s="88">
        <f ca="1">IF(A8&lt;=np,IF(G8&gt;0,'DESIGN CRIT'!D52*(G8+pt/12+ct/12-cdim/4/12)*lf,),"")</f>
        <v>686.66666666666674</v>
      </c>
      <c r="U8" s="88">
        <f ca="1">IF(A8&lt;=np,IF(H8&gt;0,'DESIGN CRIT'!D52*(H8+pt/12+ct/12-cdim/4/12)*lf,),"")</f>
        <v>0</v>
      </c>
      <c r="V8" s="94">
        <f ca="1">IF(A8&lt;=np,IF(H8&lt;0,'DESIGN CRIT'!D52*(H8-pt/12-ct/12+cdim/4/12)*lf,),"")</f>
        <v>-446.66666666666663</v>
      </c>
    </row>
    <row r="9" spans="1:25" x14ac:dyDescent="0.2">
      <c r="A9" s="88">
        <v>5</v>
      </c>
      <c r="B9" s="85">
        <f ca="1">IF('DESIGN CRIT'!$F$45&gt;=5,$C39-$B$68,"")</f>
        <v>0</v>
      </c>
      <c r="C9" s="85">
        <f ca="1">IF('DESIGN CRIT'!$F$45&gt;=5,$B39-$B$67,"")</f>
        <v>-4.5</v>
      </c>
      <c r="D9" s="85">
        <f ca="1">IF('DESIGN CRIT'!$F$45&gt;=5,$B9^2,"")</f>
        <v>0</v>
      </c>
      <c r="E9" s="85">
        <f ca="1">IF('DESIGN CRIT'!$F$45&gt;=5,$C9^2,"")</f>
        <v>20.25</v>
      </c>
      <c r="F9" s="85">
        <f ca="1">IF('DESIGN CRIT'!$F$45&gt;=5,$B9*$C9,"")</f>
        <v>0</v>
      </c>
      <c r="G9" s="93">
        <f ca="1">IF('DESIGN CRIT'!$F$45&gt;=5,$B39-$B$67,"")</f>
        <v>-4.5</v>
      </c>
      <c r="H9" s="93">
        <f ca="1">IF('DESIGN CRIT'!$F$45&gt;=5,$C39-$B$68,"")</f>
        <v>0</v>
      </c>
      <c r="I9" s="93">
        <f ca="1">IF(A9&lt;='DESIGN CRIT'!$F$45,SQRT(G9*G9+H9*H9),"")</f>
        <v>4.5</v>
      </c>
      <c r="J9" s="88">
        <f ca="1">IF(A9&gt;np,"",IF(AND(ABS(G9)&lt;('DESIGN CRIT'!$E$30+'DESIGN CRIT'!$E$151)/12/2,ABS(H9)&lt;('DESIGN CRIT'!$E$30+'DESIGN CRIT'!$E$151)/12/2),"",'DESIGN CRIT'!D53*lf))</f>
        <v>160</v>
      </c>
      <c r="K9" s="85">
        <f ca="1">IF(A9&lt;=np,IF(G9&lt;0,'DESIGN CRIT'!D53*(G9+'DESIGN CRIT'!$E$30/2/12-pt/12-ct/12)*lf,),"")</f>
        <v>-613.33333333333337</v>
      </c>
      <c r="L9" s="85">
        <f ca="1">IF(A9&lt;=np,IF(G9&gt;0,'DESIGN CRIT'!D53*(G9-'DESIGN CRIT'!$E$30/2/12+pt/12+ct/12)*lf,),"")</f>
        <v>0</v>
      </c>
      <c r="M9" s="85">
        <f ca="1">IF(A9&lt;=np,IF(H9&gt;0,'DESIGN CRIT'!D53*(H9-'DESIGN CRIT'!$E$30/2/12+pt/12+ct/12)*lf,),"")</f>
        <v>0</v>
      </c>
      <c r="N9" s="85">
        <f ca="1">IF(A9&lt;=np,IF(H9&lt;0,'DESIGN CRIT'!D53*(H9+'DESIGN CRIT'!$E$30/2/12-pt/12-ct/12)*lf,),"")</f>
        <v>0</v>
      </c>
      <c r="O9" s="85">
        <f ca="1">IF(A9&lt;=np,IF(G9&lt;0,'DESIGN CRIT'!D53*(G9-pt/12-ct/12)*lf,),"")</f>
        <v>-760</v>
      </c>
      <c r="P9" s="85">
        <f ca="1">IF(A9&lt;=np,IF(G9&gt;0,'DESIGN CRIT'!D53*(G9+pt/12+ct/12)*lf,),"")</f>
        <v>0</v>
      </c>
      <c r="Q9" s="88">
        <f ca="1">IF(A9&lt;=np,IF(H9&gt;0,'DESIGN CRIT'!D53*(H9+pt/12+ct/12)*lf,),"")</f>
        <v>0</v>
      </c>
      <c r="R9" s="88">
        <f ca="1">IF(A9&lt;=np,IF(H9&lt;0,'DESIGN CRIT'!D53*(H9-pt/12-ct/12)*lf,),"")</f>
        <v>0</v>
      </c>
      <c r="S9" s="88">
        <f ca="1">IF(A9&lt;=np,IF(G9&lt;0,'DESIGN CRIT'!D53*(G9-pt/12-ct/12+cdim/4/12)*lf,),"")</f>
        <v>-686.66666666666674</v>
      </c>
      <c r="T9" s="88">
        <f ca="1">IF(A9&lt;=np,IF(G9&gt;0,'DESIGN CRIT'!D53*(G9+pt/12+ct/12-cdim/4/12)*lf,),"")</f>
        <v>0</v>
      </c>
      <c r="U9" s="88">
        <f ca="1">IF(A9&lt;=np,IF(H9&gt;0,'DESIGN CRIT'!D53*(H9+pt/12+ct/12-cdim/4/12)*lf,),"")</f>
        <v>0</v>
      </c>
      <c r="V9" s="94">
        <f ca="1">IF(A9&lt;=np,IF(H9&lt;0,'DESIGN CRIT'!D53*(H9-pt/12-ct/12+cdim/4/12)*lf,),"")</f>
        <v>0</v>
      </c>
    </row>
    <row r="10" spans="1:25" x14ac:dyDescent="0.2">
      <c r="A10" s="88">
        <v>6</v>
      </c>
      <c r="B10" s="85">
        <f ca="1">IF('DESIGN CRIT'!$F$45&gt;=6,$C40-$B$68,"")</f>
        <v>0</v>
      </c>
      <c r="C10" s="85">
        <f ca="1">IF('DESIGN CRIT'!$F$45&gt;=6,$B40-$B$67,"")</f>
        <v>-1.5</v>
      </c>
      <c r="D10" s="85">
        <f ca="1">IF('DESIGN CRIT'!$F$45&gt;=6,$B10^2,"")</f>
        <v>0</v>
      </c>
      <c r="E10" s="85">
        <f ca="1">IF('DESIGN CRIT'!$F$45&gt;=6,$C10^2,"")</f>
        <v>2.25</v>
      </c>
      <c r="F10" s="85">
        <f ca="1">IF('DESIGN CRIT'!$F$45&gt;=6,$B10*$C10,"")</f>
        <v>0</v>
      </c>
      <c r="G10" s="93">
        <f ca="1">IF('DESIGN CRIT'!$F$45&gt;=6,$B40-$B$67,"")</f>
        <v>-1.5</v>
      </c>
      <c r="H10" s="93">
        <f ca="1">IF('DESIGN CRIT'!$F$45&gt;=6,$C40-$B$68,"")</f>
        <v>0</v>
      </c>
      <c r="I10" s="93">
        <f ca="1">IF(A10&lt;='DESIGN CRIT'!$F$45,SQRT(G10*G10+H10*H10),"")</f>
        <v>1.5</v>
      </c>
      <c r="J10" s="88" t="str">
        <f ca="1">IF(A10&gt;np,"",IF(AND(ABS(G10)&lt;('DESIGN CRIT'!$E$30+'DESIGN CRIT'!$E$151)/12/2,ABS(H10)&lt;('DESIGN CRIT'!$E$30+'DESIGN CRIT'!$E$151)/12/2),"",'DESIGN CRIT'!D54*lf))</f>
        <v/>
      </c>
      <c r="K10" s="85">
        <f ca="1">IF(A10&lt;=np,IF(G10&lt;0,'DESIGN CRIT'!D54*(G10+'DESIGN CRIT'!$E$30/2/12-pt/12-ct/12)*lf,),"")</f>
        <v>-133.33333333333334</v>
      </c>
      <c r="L10" s="85">
        <f ca="1">IF(A10&lt;=np,IF(G10&gt;0,'DESIGN CRIT'!D54*(G10-'DESIGN CRIT'!$E$30/2/12+pt/12+ct/12)*lf,),"")</f>
        <v>0</v>
      </c>
      <c r="M10" s="85">
        <f ca="1">IF(A10&lt;=np,IF(H10&gt;0,'DESIGN CRIT'!D54*(H10-'DESIGN CRIT'!$E$30/2/12+pt/12+ct/12)*lf,),"")</f>
        <v>0</v>
      </c>
      <c r="N10" s="85">
        <f ca="1">IF(A10&lt;=np,IF(H10&lt;0,'DESIGN CRIT'!D54*(H10+'DESIGN CRIT'!$E$30/2/12-pt/12-ct/12)*lf,),"")</f>
        <v>0</v>
      </c>
      <c r="O10" s="85">
        <f ca="1">IF(A10&lt;=np,IF(G10&lt;0,'DESIGN CRIT'!D54*(G10-pt/12-ct/12)*lf,),"")</f>
        <v>-280</v>
      </c>
      <c r="P10" s="85">
        <f ca="1">IF(A10&lt;=np,IF(G10&gt;0,'DESIGN CRIT'!D54*(G10+pt/12+ct/12)*lf,),"")</f>
        <v>0</v>
      </c>
      <c r="Q10" s="88">
        <f ca="1">IF(A10&lt;=np,IF(H10&gt;0,'DESIGN CRIT'!D54*(H10+pt/12+ct/12)*lf,),"")</f>
        <v>0</v>
      </c>
      <c r="R10" s="88">
        <f ca="1">IF(A10&lt;=np,IF(H10&lt;0,'DESIGN CRIT'!D54*(H10-pt/12-ct/12)*lf,),"")</f>
        <v>0</v>
      </c>
      <c r="S10" s="88">
        <f ca="1">IF(A10&lt;=np,IF(G10&lt;0,'DESIGN CRIT'!D54*(G10-pt/12-ct/12+cdim/4/12)*lf,),"")</f>
        <v>-206.66666666666671</v>
      </c>
      <c r="T10" s="88">
        <f ca="1">IF(A10&lt;=np,IF(G10&gt;0,'DESIGN CRIT'!D54*(G10+pt/12+ct/12-cdim/4/12)*lf,),"")</f>
        <v>0</v>
      </c>
      <c r="U10" s="88">
        <f ca="1">IF(A10&lt;=np,IF(H10&gt;0,'DESIGN CRIT'!D54*(H10+pt/12+ct/12-cdim/4/12)*lf,),"")</f>
        <v>0</v>
      </c>
      <c r="V10" s="94">
        <f ca="1">IF(A10&lt;=np,IF(H10&lt;0,'DESIGN CRIT'!D54*(H10-pt/12-ct/12+cdim/4/12)*lf,),"")</f>
        <v>0</v>
      </c>
    </row>
    <row r="11" spans="1:25" x14ac:dyDescent="0.2">
      <c r="A11" s="88">
        <v>7</v>
      </c>
      <c r="B11" s="85">
        <f ca="1">IF('DESIGN CRIT'!$F$45&gt;=7,$C41-$B$68,"")</f>
        <v>0</v>
      </c>
      <c r="C11" s="85">
        <f ca="1">IF('DESIGN CRIT'!$F$45&gt;=7,$B41-$B$67,"")</f>
        <v>1.5</v>
      </c>
      <c r="D11" s="85">
        <f ca="1">IF('DESIGN CRIT'!$F$45&gt;=7,$B11^2,"")</f>
        <v>0</v>
      </c>
      <c r="E11" s="85">
        <f ca="1">IF('DESIGN CRIT'!$F$45&gt;=7,$C11^2,"")</f>
        <v>2.25</v>
      </c>
      <c r="F11" s="85">
        <f ca="1">IF('DESIGN CRIT'!$F$45&gt;=7,$B11*$C11,"")</f>
        <v>0</v>
      </c>
      <c r="G11" s="93">
        <f ca="1">IF('DESIGN CRIT'!$F$45&gt;=7,$B41-$B$67,"")</f>
        <v>1.5</v>
      </c>
      <c r="H11" s="93">
        <f ca="1">IF('DESIGN CRIT'!$F$45&gt;=7,$C41-$B$68,"")</f>
        <v>0</v>
      </c>
      <c r="I11" s="93">
        <f ca="1">IF(A11&lt;='DESIGN CRIT'!$F$45,SQRT(G11*G11+H11*H11),"")</f>
        <v>1.5</v>
      </c>
      <c r="J11" s="88" t="str">
        <f ca="1">IF(A11&gt;np,"",IF(AND(ABS(G11)&lt;('DESIGN CRIT'!$E$30+'DESIGN CRIT'!$E$151)/12/2,ABS(H11)&lt;('DESIGN CRIT'!$E$30+'DESIGN CRIT'!$E$151)/12/2),"",'DESIGN CRIT'!D55*lf))</f>
        <v/>
      </c>
      <c r="K11" s="85">
        <f ca="1">IF(A11&lt;=np,IF(G11&lt;0,'DESIGN CRIT'!D55*(G11+'DESIGN CRIT'!$E$30/2/12-pt/12-ct/12)*lf,),"")</f>
        <v>0</v>
      </c>
      <c r="L11" s="85">
        <f ca="1">IF(A11&lt;=np,IF(G11&gt;0,'DESIGN CRIT'!D55*(G11-'DESIGN CRIT'!$E$30/2/12+pt/12+ct/12)*lf,),"")</f>
        <v>133.33333333333334</v>
      </c>
      <c r="M11" s="85">
        <f ca="1">IF(A11&lt;=np,IF(H11&gt;0,'DESIGN CRIT'!D55*(H11-'DESIGN CRIT'!$E$30/2/12+pt/12+ct/12)*lf,),"")</f>
        <v>0</v>
      </c>
      <c r="N11" s="85">
        <f ca="1">IF(A11&lt;=np,IF(H11&lt;0,'DESIGN CRIT'!D55*(H11+'DESIGN CRIT'!$E$30/2/12-pt/12-ct/12)*lf,),"")</f>
        <v>0</v>
      </c>
      <c r="O11" s="85">
        <f ca="1">IF(A11&lt;=np,IF(G11&lt;0,'DESIGN CRIT'!D55*(G11-pt/12-ct/12)*lf,),"")</f>
        <v>0</v>
      </c>
      <c r="P11" s="85">
        <f ca="1">IF(A11&lt;=np,IF(G11&gt;0,'DESIGN CRIT'!D55*(G11+pt/12+ct/12)*lf,),"")</f>
        <v>280</v>
      </c>
      <c r="Q11" s="88">
        <f ca="1">IF(A11&lt;=np,IF(H11&gt;0,'DESIGN CRIT'!D55*(H11+pt/12+ct/12)*lf,),"")</f>
        <v>0</v>
      </c>
      <c r="R11" s="88">
        <f ca="1">IF(A11&lt;=np,IF(H11&lt;0,'DESIGN CRIT'!D55*(H11-pt/12-ct/12)*lf,),"")</f>
        <v>0</v>
      </c>
      <c r="S11" s="88">
        <f ca="1">IF(A11&lt;=np,IF(G11&lt;0,'DESIGN CRIT'!D55*(G11-pt/12-ct/12+cdim/4/12)*lf,),"")</f>
        <v>0</v>
      </c>
      <c r="T11" s="88">
        <f ca="1">IF(A11&lt;=np,IF(G11&gt;0,'DESIGN CRIT'!D55*(G11+pt/12+ct/12-cdim/4/12)*lf,),"")</f>
        <v>206.66666666666671</v>
      </c>
      <c r="U11" s="88">
        <f ca="1">IF(A11&lt;=np,IF(H11&gt;0,'DESIGN CRIT'!D55*(H11+pt/12+ct/12-cdim/4/12)*lf,),"")</f>
        <v>0</v>
      </c>
      <c r="V11" s="94">
        <f ca="1">IF(A11&lt;=np,IF(H11&lt;0,'DESIGN CRIT'!D55*(H11-pt/12-ct/12+cdim/4/12)*lf,),"")</f>
        <v>0</v>
      </c>
    </row>
    <row r="12" spans="1:25" x14ac:dyDescent="0.2">
      <c r="A12" s="88">
        <v>8</v>
      </c>
      <c r="B12" s="85">
        <f ca="1">IF('DESIGN CRIT'!$F$45&gt;=8,$C42-$B$68,"")</f>
        <v>0</v>
      </c>
      <c r="C12" s="85">
        <f ca="1">IF('DESIGN CRIT'!$F$45&gt;=8,$B42-$B$67,"")</f>
        <v>4.5</v>
      </c>
      <c r="D12" s="85">
        <f ca="1">IF('DESIGN CRIT'!$F$45&gt;=8,$B12^2,"")</f>
        <v>0</v>
      </c>
      <c r="E12" s="85">
        <f ca="1">IF('DESIGN CRIT'!$F$45&gt;=8,$C12^2,"")</f>
        <v>20.25</v>
      </c>
      <c r="F12" s="85">
        <f ca="1">IF('DESIGN CRIT'!$F$45&gt;=8,$B12*$C12,"")</f>
        <v>0</v>
      </c>
      <c r="G12" s="93">
        <f ca="1">IF('DESIGN CRIT'!$F$45&gt;=8,$B42-$B$67,"")</f>
        <v>4.5</v>
      </c>
      <c r="H12" s="93">
        <f ca="1">IF('DESIGN CRIT'!$F$45&gt;=8,$C42-$B$68,"")</f>
        <v>0</v>
      </c>
      <c r="I12" s="93">
        <f ca="1">IF(A12&lt;='DESIGN CRIT'!$F$45,SQRT(G12*G12+H12*H12),"")</f>
        <v>4.5</v>
      </c>
      <c r="J12" s="88">
        <f ca="1">IF(A12&gt;np,"",IF(AND(ABS(G12)&lt;('DESIGN CRIT'!$E$30+'DESIGN CRIT'!$E$151)/12/2,ABS(H12)&lt;('DESIGN CRIT'!$E$30+'DESIGN CRIT'!$E$151)/12/2),"",'DESIGN CRIT'!D56*lf))</f>
        <v>160</v>
      </c>
      <c r="K12" s="85">
        <f ca="1">IF(A12&lt;=np,IF(G12&lt;0,'DESIGN CRIT'!D56*(G12+'DESIGN CRIT'!$E$30/2/12-pt/12-ct/12)*lf,),"")</f>
        <v>0</v>
      </c>
      <c r="L12" s="85">
        <f ca="1">IF(A12&lt;=np,IF(G12&gt;0,'DESIGN CRIT'!D56*(G12-'DESIGN CRIT'!$E$30/2/12+pt/12+ct/12)*lf,),"")</f>
        <v>613.33333333333337</v>
      </c>
      <c r="M12" s="85">
        <f ca="1">IF(A12&lt;=np,IF(H12&gt;0,'DESIGN CRIT'!D56*(H12-'DESIGN CRIT'!$E$30/2/12+pt/12+ct/12)*lf,),"")</f>
        <v>0</v>
      </c>
      <c r="N12" s="85">
        <f ca="1">IF(A12&lt;=np,IF(H12&lt;0,'DESIGN CRIT'!D56*(H12+'DESIGN CRIT'!$E$30/2/12-pt/12-ct/12)*lf,),"")</f>
        <v>0</v>
      </c>
      <c r="O12" s="85">
        <f ca="1">IF(A12&lt;=np,IF(G12&lt;0,'DESIGN CRIT'!D56*(G12-pt/12-ct/12)*lf,),"")</f>
        <v>0</v>
      </c>
      <c r="P12" s="85">
        <f ca="1">IF(A12&lt;=np,IF(G12&gt;0,'DESIGN CRIT'!D56*(G12+pt/12+ct/12)*lf,),"")</f>
        <v>760</v>
      </c>
      <c r="Q12" s="88">
        <f ca="1">IF(A12&lt;=np,IF(H12&gt;0,'DESIGN CRIT'!D56*(H12+pt/12+ct/12)*lf,),"")</f>
        <v>0</v>
      </c>
      <c r="R12" s="88">
        <f ca="1">IF(A12&lt;=np,IF(H12&lt;0,'DESIGN CRIT'!D56*(H12-pt/12-ct/12)*lf,),"")</f>
        <v>0</v>
      </c>
      <c r="S12" s="88">
        <f ca="1">IF(A12&lt;=np,IF(G12&lt;0,'DESIGN CRIT'!D56*(G12-pt/12-ct/12+cdim/4/12)*lf,),"")</f>
        <v>0</v>
      </c>
      <c r="T12" s="88">
        <f ca="1">IF(A12&lt;=np,IF(G12&gt;0,'DESIGN CRIT'!D56*(G12+pt/12+ct/12-cdim/4/12)*lf,),"")</f>
        <v>686.66666666666674</v>
      </c>
      <c r="U12" s="88">
        <f ca="1">IF(A12&lt;=np,IF(H12&gt;0,'DESIGN CRIT'!D56*(H12+pt/12+ct/12-cdim/4/12)*lf,),"")</f>
        <v>0</v>
      </c>
      <c r="V12" s="94">
        <f ca="1">IF(A12&lt;=np,IF(H12&lt;0,'DESIGN CRIT'!D56*(H12-pt/12-ct/12+cdim/4/12)*lf,),"")</f>
        <v>0</v>
      </c>
    </row>
    <row r="13" spans="1:25" x14ac:dyDescent="0.2">
      <c r="A13" s="88">
        <v>9</v>
      </c>
      <c r="B13" s="85">
        <f ca="1">IF('DESIGN CRIT'!$F$45&gt;=9,$C43-$B$68,"")</f>
        <v>3</v>
      </c>
      <c r="C13" s="85">
        <f ca="1">IF('DESIGN CRIT'!$F$45&gt;=9,$B43-$B$67,"")</f>
        <v>-4.5</v>
      </c>
      <c r="D13" s="85">
        <f ca="1">IF('DESIGN CRIT'!$F$45&gt;=9,$B13^2,"")</f>
        <v>9</v>
      </c>
      <c r="E13" s="85">
        <f ca="1">IF('DESIGN CRIT'!$F$45&gt;=9,$C13^2,"")</f>
        <v>20.25</v>
      </c>
      <c r="F13" s="85">
        <f ca="1">IF('DESIGN CRIT'!$F$45&gt;=9,$B13*$C13,"")</f>
        <v>-13.5</v>
      </c>
      <c r="G13" s="93">
        <f ca="1">IF('DESIGN CRIT'!$F$45&gt;=9,$B43-$B$67,"")</f>
        <v>-4.5</v>
      </c>
      <c r="H13" s="93">
        <f ca="1">IF('DESIGN CRIT'!$F$45&gt;=9,$C43-$B$68,"")</f>
        <v>3</v>
      </c>
      <c r="I13" s="93">
        <f ca="1">IF(A13&lt;='DESIGN CRIT'!$F$45,SQRT(G13*G13+H13*H13),"")</f>
        <v>5.4083269131959844</v>
      </c>
      <c r="J13" s="88">
        <f ca="1">IF(A13&gt;np,"",IF(AND(ABS(G13)&lt;('DESIGN CRIT'!$E$30+'DESIGN CRIT'!$E$151)/12/2,ABS(H13)&lt;('DESIGN CRIT'!$E$30+'DESIGN CRIT'!$E$151)/12/2),"",'DESIGN CRIT'!D57*lf))</f>
        <v>160</v>
      </c>
      <c r="K13" s="85">
        <f ca="1">IF(A13&lt;=np,IF(G13&lt;0,'DESIGN CRIT'!D57*(G13+'DESIGN CRIT'!$E$30/2/12-pt/12-ct/12)*lf,),"")</f>
        <v>-613.33333333333337</v>
      </c>
      <c r="L13" s="85">
        <f ca="1">IF(A13&lt;=np,IF(G13&gt;0,'DESIGN CRIT'!D57*(G13-'DESIGN CRIT'!$E$30/2/12+pt/12+ct/12)*lf,),"")</f>
        <v>0</v>
      </c>
      <c r="M13" s="85">
        <f ca="1">IF(A13&lt;=np,IF(H13&gt;0,'DESIGN CRIT'!D57*(H13-'DESIGN CRIT'!$E$30/2/12+pt/12+ct/12)*lf,),"")</f>
        <v>373.33333333333337</v>
      </c>
      <c r="N13" s="85">
        <f ca="1">IF(A13&lt;=np,IF(H13&lt;0,'DESIGN CRIT'!D57*(H13+'DESIGN CRIT'!$E$30/2/12-pt/12-ct/12)*lf,),"")</f>
        <v>0</v>
      </c>
      <c r="O13" s="85">
        <f ca="1">IF(A13&lt;=np,IF(G13&lt;0,'DESIGN CRIT'!D57*(G13-pt/12-ct/12)*lf,),"")</f>
        <v>-760</v>
      </c>
      <c r="P13" s="85">
        <f ca="1">IF(A13&lt;=np,IF(G13&gt;0,'DESIGN CRIT'!D57*(G13+pt/12+ct/12)*lf,),"")</f>
        <v>0</v>
      </c>
      <c r="Q13" s="88">
        <f ca="1">IF(A13&lt;=np,IF(H13&gt;0,'DESIGN CRIT'!D57*(H13+pt/12+ct/12)*lf,),"")</f>
        <v>520</v>
      </c>
      <c r="R13" s="88">
        <f ca="1">IF(A13&lt;=np,IF(H13&lt;0,'DESIGN CRIT'!D57*(H13-pt/12-ct/12)*lf,),"")</f>
        <v>0</v>
      </c>
      <c r="S13" s="88">
        <f ca="1">IF(A13&lt;=np,IF(G13&lt;0,'DESIGN CRIT'!D57*(G13-pt/12-ct/12+cdim/4/12)*lf,),"")</f>
        <v>-686.66666666666674</v>
      </c>
      <c r="T13" s="88">
        <f ca="1">IF(A13&lt;=np,IF(G13&gt;0,'DESIGN CRIT'!D57*(G13+pt/12+ct/12-cdim/4/12)*lf,),"")</f>
        <v>0</v>
      </c>
      <c r="U13" s="88">
        <f ca="1">IF(A13&lt;=np,IF(H13&gt;0,'DESIGN CRIT'!D57*(H13+pt/12+ct/12-cdim/4/12)*lf,),"")</f>
        <v>446.66666666666663</v>
      </c>
      <c r="V13" s="94">
        <f ca="1">IF(A13&lt;=np,IF(H13&lt;0,'DESIGN CRIT'!D57*(H13-pt/12-ct/12+cdim/4/12)*lf,),"")</f>
        <v>0</v>
      </c>
    </row>
    <row r="14" spans="1:25" x14ac:dyDescent="0.2">
      <c r="A14" s="88">
        <v>10</v>
      </c>
      <c r="B14" s="85">
        <f ca="1">IF('DESIGN CRIT'!$F$45&gt;=10,$C44-$B$68,"")</f>
        <v>3</v>
      </c>
      <c r="C14" s="85">
        <f ca="1">IF('DESIGN CRIT'!$F$45&gt;=10,$B44-$B$67,"")</f>
        <v>-1.5</v>
      </c>
      <c r="D14" s="85">
        <f ca="1">IF('DESIGN CRIT'!$F$45&gt;=10,$B14^2,"")</f>
        <v>9</v>
      </c>
      <c r="E14" s="85">
        <f ca="1">IF('DESIGN CRIT'!$F$45&gt;=10,$C14^2,"")</f>
        <v>2.25</v>
      </c>
      <c r="F14" s="85">
        <f ca="1">IF('DESIGN CRIT'!$F$45&gt;=10,$B14*$C14,"")</f>
        <v>-4.5</v>
      </c>
      <c r="G14" s="93">
        <f ca="1">IF('DESIGN CRIT'!$F$45&gt;=10,$B44-$B$67,"")</f>
        <v>-1.5</v>
      </c>
      <c r="H14" s="93">
        <f ca="1">IF('DESIGN CRIT'!$F$45&gt;=10,$C44-$B$68,"")</f>
        <v>3</v>
      </c>
      <c r="I14" s="93">
        <f ca="1">IF(A14&lt;='DESIGN CRIT'!$F$45,SQRT(G14*G14+H14*H14),"")</f>
        <v>3.3541019662496847</v>
      </c>
      <c r="J14" s="88">
        <f ca="1">IF(A14&gt;np,"",IF(AND(ABS(G14)&lt;('DESIGN CRIT'!$E$30+'DESIGN CRIT'!$E$151)/12/2,ABS(H14)&lt;('DESIGN CRIT'!$E$30+'DESIGN CRIT'!$E$151)/12/2),"",'DESIGN CRIT'!D58*lf))</f>
        <v>160</v>
      </c>
      <c r="K14" s="85">
        <f ca="1">IF(A14&lt;=np,IF(G14&lt;0,'DESIGN CRIT'!D58*(G14+'DESIGN CRIT'!$E$30/2/12-pt/12-ct/12)*lf,),"")</f>
        <v>-133.33333333333334</v>
      </c>
      <c r="L14" s="85">
        <f ca="1">IF(A14&lt;=np,IF(G14&gt;0,'DESIGN CRIT'!D58*(G14-'DESIGN CRIT'!$E$30/2/12+pt/12+ct/12)*lf,),"")</f>
        <v>0</v>
      </c>
      <c r="M14" s="85">
        <f ca="1">IF(A14&lt;=np,IF(H14&gt;0,'DESIGN CRIT'!D58*(H14-'DESIGN CRIT'!$E$30/2/12+pt/12+ct/12)*lf,),"")</f>
        <v>373.33333333333337</v>
      </c>
      <c r="N14" s="85">
        <f ca="1">IF(A14&lt;=np,IF(H14&lt;0,'DESIGN CRIT'!D58*(H14+'DESIGN CRIT'!$E$30/2/12-pt/12-ct/12)*lf,),"")</f>
        <v>0</v>
      </c>
      <c r="O14" s="85">
        <f ca="1">IF(A14&lt;=np,IF(G14&lt;0,'DESIGN CRIT'!D58*(G14-pt/12-ct/12)*lf,),"")</f>
        <v>-280</v>
      </c>
      <c r="P14" s="85">
        <f ca="1">IF(A14&lt;=np,IF(G14&gt;0,'DESIGN CRIT'!D58*(G14+pt/12+ct/12)*lf,),"")</f>
        <v>0</v>
      </c>
      <c r="Q14" s="88">
        <f ca="1">IF(A14&lt;=np,IF(H14&gt;0,'DESIGN CRIT'!D58*(H14+pt/12+ct/12)*lf,),"")</f>
        <v>520</v>
      </c>
      <c r="R14" s="88">
        <f ca="1">IF(A14&lt;=np,IF(H14&lt;0,'DESIGN CRIT'!D58*(H14-pt/12-ct/12)*lf,),"")</f>
        <v>0</v>
      </c>
      <c r="S14" s="88">
        <f ca="1">IF(A14&lt;=np,IF(G14&lt;0,'DESIGN CRIT'!D58*(G14-pt/12-ct/12+cdim/4/12)*lf,),"")</f>
        <v>-206.66666666666671</v>
      </c>
      <c r="T14" s="88">
        <f ca="1">IF(A14&lt;=np,IF(G14&gt;0,'DESIGN CRIT'!D58*(G14+pt/12+ct/12-cdim/4/12)*lf,),"")</f>
        <v>0</v>
      </c>
      <c r="U14" s="88">
        <f ca="1">IF(A14&lt;=np,IF(H14&gt;0,'DESIGN CRIT'!D58*(H14+pt/12+ct/12-cdim/4/12)*lf,),"")</f>
        <v>446.66666666666663</v>
      </c>
      <c r="V14" s="94">
        <f ca="1">IF(A14&lt;=np,IF(H14&lt;0,'DESIGN CRIT'!D58*(H14-pt/12-ct/12+cdim/4/12)*lf,),"")</f>
        <v>0</v>
      </c>
    </row>
    <row r="15" spans="1:25" x14ac:dyDescent="0.2">
      <c r="A15" s="88">
        <v>11</v>
      </c>
      <c r="B15" s="85">
        <f ca="1">IF('DESIGN CRIT'!$F$45&gt;=11,$C45-$B$68,"")</f>
        <v>3</v>
      </c>
      <c r="C15" s="85">
        <f ca="1">IF('DESIGN CRIT'!$F$45&gt;=11,$B45-$B$67,"")</f>
        <v>1.5</v>
      </c>
      <c r="D15" s="85">
        <f ca="1">IF('DESIGN CRIT'!$F$45&gt;=11,$B15^2,"")</f>
        <v>9</v>
      </c>
      <c r="E15" s="85">
        <f ca="1">IF('DESIGN CRIT'!$F$45&gt;=11,$C15^2,"")</f>
        <v>2.25</v>
      </c>
      <c r="F15" s="85">
        <f ca="1">IF('DESIGN CRIT'!$F$45&gt;=11,$B15*$C15,"")</f>
        <v>4.5</v>
      </c>
      <c r="G15" s="93">
        <f ca="1">IF('DESIGN CRIT'!$F$45&gt;=11,$B45-$B$67,"")</f>
        <v>1.5</v>
      </c>
      <c r="H15" s="93">
        <f ca="1">IF('DESIGN CRIT'!$F$45&gt;=11,$C45-$B$68,"")</f>
        <v>3</v>
      </c>
      <c r="I15" s="93">
        <f ca="1">IF(A15&lt;='DESIGN CRIT'!$F$45,SQRT(G15*G15+H15*H15),"")</f>
        <v>3.3541019662496847</v>
      </c>
      <c r="J15" s="88">
        <f ca="1">IF(A15&gt;np,"",IF(AND(ABS(G15)&lt;('DESIGN CRIT'!$E$30+'DESIGN CRIT'!$E$151)/12/2,ABS(H15)&lt;('DESIGN CRIT'!$E$30+'DESIGN CRIT'!$E$151)/12/2),"",'DESIGN CRIT'!D59*lf))</f>
        <v>160</v>
      </c>
      <c r="K15" s="85">
        <f ca="1">IF(A15&lt;=np,IF(G15&lt;0,'DESIGN CRIT'!D59*(G15+'DESIGN CRIT'!$E$30/2/12-pt/12-ct/12)*lf,),"")</f>
        <v>0</v>
      </c>
      <c r="L15" s="85">
        <f ca="1">IF(A15&lt;=np,IF(G15&gt;0,'DESIGN CRIT'!D59*(G15-'DESIGN CRIT'!$E$30/2/12+pt/12+ct/12)*lf,),"")</f>
        <v>133.33333333333334</v>
      </c>
      <c r="M15" s="85">
        <f ca="1">IF(A15&lt;=np,IF(H15&gt;0,'DESIGN CRIT'!D59*(H15-'DESIGN CRIT'!$E$30/2/12+pt/12+ct/12)*lf,),"")</f>
        <v>373.33333333333337</v>
      </c>
      <c r="N15" s="85">
        <f ca="1">IF(A15&lt;=np,IF(H15&lt;0,'DESIGN CRIT'!D59*(H15+'DESIGN CRIT'!$E$30/2/12-pt/12-ct/12)*lf,),"")</f>
        <v>0</v>
      </c>
      <c r="O15" s="85">
        <f ca="1">IF(A15&lt;=np,IF(G15&lt;0,'DESIGN CRIT'!D59*(G15-pt/12-ct/12)*lf,),"")</f>
        <v>0</v>
      </c>
      <c r="P15" s="85">
        <f ca="1">IF(A15&lt;=np,IF(G15&gt;0,'DESIGN CRIT'!D59*(G15+pt/12+ct/12)*lf,),"")</f>
        <v>280</v>
      </c>
      <c r="Q15" s="88">
        <f ca="1">IF(A15&lt;=np,IF(H15&gt;0,'DESIGN CRIT'!D59*(H15+pt/12+ct/12)*lf,),"")</f>
        <v>520</v>
      </c>
      <c r="R15" s="88">
        <f ca="1">IF(A15&lt;=np,IF(H15&lt;0,'DESIGN CRIT'!D59*(H15-pt/12-ct/12)*lf,),"")</f>
        <v>0</v>
      </c>
      <c r="S15" s="88">
        <f ca="1">IF(A15&lt;=np,IF(G15&lt;0,'DESIGN CRIT'!D59*(G15-pt/12-ct/12+cdim/4/12)*lf,),"")</f>
        <v>0</v>
      </c>
      <c r="T15" s="88">
        <f ca="1">IF(A15&lt;=np,IF(G15&gt;0,'DESIGN CRIT'!D59*(G15+pt/12+ct/12-cdim/4/12)*lf,),"")</f>
        <v>206.66666666666671</v>
      </c>
      <c r="U15" s="88">
        <f ca="1">IF(A15&lt;=np,IF(H15&gt;0,'DESIGN CRIT'!D59*(H15+pt/12+ct/12-cdim/4/12)*lf,),"")</f>
        <v>446.66666666666663</v>
      </c>
      <c r="V15" s="94">
        <f ca="1">IF(A15&lt;=np,IF(H15&lt;0,'DESIGN CRIT'!D59*(H15-pt/12-ct/12+cdim/4/12)*lf,),"")</f>
        <v>0</v>
      </c>
    </row>
    <row r="16" spans="1:25" x14ac:dyDescent="0.2">
      <c r="A16" s="88">
        <v>12</v>
      </c>
      <c r="B16" s="85">
        <f ca="1">IF('DESIGN CRIT'!$F$45&gt;=12,$C46-$B$68,"")</f>
        <v>3</v>
      </c>
      <c r="C16" s="85">
        <f ca="1">IF('DESIGN CRIT'!$F$45&gt;=12,$B46-$B$67,"")</f>
        <v>4.5</v>
      </c>
      <c r="D16" s="85">
        <f ca="1">IF('DESIGN CRIT'!$F$45&gt;=12,$B16^2,"")</f>
        <v>9</v>
      </c>
      <c r="E16" s="85">
        <f ca="1">IF('DESIGN CRIT'!$F$45&gt;=12,$C16^2,"")</f>
        <v>20.25</v>
      </c>
      <c r="F16" s="85">
        <f ca="1">IF('DESIGN CRIT'!$F$45&gt;=12,$B16*$C16,"")</f>
        <v>13.5</v>
      </c>
      <c r="G16" s="93">
        <f ca="1">IF('DESIGN CRIT'!$F$45&gt;=12,$B46-$B$67,"")</f>
        <v>4.5</v>
      </c>
      <c r="H16" s="93">
        <f ca="1">IF('DESIGN CRIT'!$F$45&gt;=12,$C46-$B$68,"")</f>
        <v>3</v>
      </c>
      <c r="I16" s="93">
        <f ca="1">IF(A16&lt;='DESIGN CRIT'!$F$45,SQRT(G16*G16+H16*H16),"")</f>
        <v>5.4083269131959844</v>
      </c>
      <c r="J16" s="88">
        <f ca="1">IF(A16&gt;np,"",IF(AND(ABS(G16)&lt;('DESIGN CRIT'!$E$30+'DESIGN CRIT'!$E$151)/12/2,ABS(H16)&lt;('DESIGN CRIT'!$E$30+'DESIGN CRIT'!$E$151)/12/2),"",'DESIGN CRIT'!D60*lf))</f>
        <v>160</v>
      </c>
      <c r="K16" s="85">
        <f ca="1">IF(A16&lt;=np,IF(G16&lt;0,'DESIGN CRIT'!D60*(G16+'DESIGN CRIT'!$E$30/2/12-pt/12-ct/12)*lf,),"")</f>
        <v>0</v>
      </c>
      <c r="L16" s="85">
        <f ca="1">IF(A16&lt;=np,IF(G16&gt;0,'DESIGN CRIT'!D60*(G16-'DESIGN CRIT'!$E$30/2/12+pt/12+ct/12)*lf,),"")</f>
        <v>613.33333333333337</v>
      </c>
      <c r="M16" s="85">
        <f ca="1">IF(A16&lt;=np,IF(H16&gt;0,'DESIGN CRIT'!D60*(H16-'DESIGN CRIT'!$E$30/2/12+pt/12+ct/12)*lf,),"")</f>
        <v>373.33333333333337</v>
      </c>
      <c r="N16" s="85">
        <f ca="1">IF(A16&lt;=np,IF(H16&lt;0,'DESIGN CRIT'!D60*(H16+'DESIGN CRIT'!$E$30/2/12-pt/12-ct/12)*lf,),"")</f>
        <v>0</v>
      </c>
      <c r="O16" s="85">
        <f ca="1">IF(A16&lt;=np,IF(G16&lt;0,'DESIGN CRIT'!D60*(G16-pt/12-ct/12)*lf,),"")</f>
        <v>0</v>
      </c>
      <c r="P16" s="85">
        <f ca="1">IF(A16&lt;=np,IF(G16&gt;0,'DESIGN CRIT'!D60*(G16+pt/12+ct/12)*lf,),"")</f>
        <v>760</v>
      </c>
      <c r="Q16" s="88">
        <f ca="1">IF(A16&lt;=np,IF(H16&gt;0,'DESIGN CRIT'!D60*(H16+pt/12+ct/12)*lf,),"")</f>
        <v>520</v>
      </c>
      <c r="R16" s="88">
        <f ca="1">IF(A16&lt;=np,IF(H16&lt;0,'DESIGN CRIT'!D60*(H16-pt/12-ct/12)*lf,),"")</f>
        <v>0</v>
      </c>
      <c r="S16" s="88">
        <f ca="1">IF(A16&lt;=np,IF(G16&lt;0,'DESIGN CRIT'!D60*(G16-pt/12-ct/12+cdim/4/12)*lf,),"")</f>
        <v>0</v>
      </c>
      <c r="T16" s="88">
        <f ca="1">IF(A16&lt;=np,IF(G16&gt;0,'DESIGN CRIT'!D60*(G16+pt/12+ct/12-cdim/4/12)*lf,),"")</f>
        <v>686.66666666666674</v>
      </c>
      <c r="U16" s="88">
        <f ca="1">IF(A16&lt;=np,IF(H16&gt;0,'DESIGN CRIT'!D60*(H16+pt/12+ct/12-cdim/4/12)*lf,),"")</f>
        <v>446.66666666666663</v>
      </c>
      <c r="V16" s="94">
        <f ca="1">IF(A16&lt;=np,IF(H16&lt;0,'DESIGN CRIT'!D60*(H16-pt/12-ct/12+cdim/4/12)*lf,),"")</f>
        <v>0</v>
      </c>
    </row>
    <row r="17" spans="1:28" x14ac:dyDescent="0.2">
      <c r="A17" s="88">
        <v>13</v>
      </c>
      <c r="B17" s="85" t="str">
        <f>IF('DESIGN CRIT'!$F$45&gt;=13,$C47-$B$68,"")</f>
        <v/>
      </c>
      <c r="C17" s="85" t="str">
        <f>IF('DESIGN CRIT'!$F$45&gt;=13,$B47-$B$67,"")</f>
        <v/>
      </c>
      <c r="D17" s="85" t="str">
        <f>IF('DESIGN CRIT'!$F$45&gt;=13,$B17^2,"")</f>
        <v/>
      </c>
      <c r="E17" s="85" t="str">
        <f>IF('DESIGN CRIT'!$F$45&gt;=13,$C17^2,"")</f>
        <v/>
      </c>
      <c r="F17" s="85" t="str">
        <f>IF('DESIGN CRIT'!$F$45&gt;=13,$B17*$C17,"")</f>
        <v/>
      </c>
      <c r="G17" s="93" t="str">
        <f>IF('DESIGN CRIT'!$F$45&gt;=13,$B47-$B$67,"")</f>
        <v/>
      </c>
      <c r="H17" s="93" t="str">
        <f>IF('DESIGN CRIT'!$F$45&gt;=13,$C47-$B$68,"")</f>
        <v/>
      </c>
      <c r="I17" s="93" t="str">
        <f>IF(A17&lt;='DESIGN CRIT'!$F$45,SQRT(G17*G17+H17*H17),"")</f>
        <v/>
      </c>
      <c r="J17" s="88" t="str">
        <f>IF(A17&gt;np,"",IF(AND(ABS(G17)&lt;('DESIGN CRIT'!$E$30+'DESIGN CRIT'!$E$151)/12/2,ABS(H17)&lt;('DESIGN CRIT'!$E$30+'DESIGN CRIT'!$E$151)/12/2),"",'DESIGN CRIT'!D61*lf))</f>
        <v/>
      </c>
      <c r="K17" s="85" t="str">
        <f>IF(A17&lt;=np,IF(G17&lt;0,'DESIGN CRIT'!D61*(G17+'DESIGN CRIT'!$E$30/2/12-pt/12-ct/12)*lf,),"")</f>
        <v/>
      </c>
      <c r="L17" s="85" t="str">
        <f>IF(B17&lt;=np,IF(H17&gt;0,'DESIGN CRIT'!D61*(H17-'DESIGN CRIT'!$E$30/2/12+pt/12+ct/12)*lf,),"")</f>
        <v/>
      </c>
      <c r="M17" s="85" t="str">
        <f>IF(A17&lt;=np,IF(H17&gt;0,'DESIGN CRIT'!D61*(H17-'DESIGN CRIT'!$E$30/2/12+pt/12+ct/12)*lf,),"")</f>
        <v/>
      </c>
      <c r="N17" s="85" t="str">
        <f>IF(B17&lt;=np,IF(H17&lt;0,'DESIGN CRIT'!D61*(H17+'DESIGN CRIT'!$E$30/2/12-pt/12-ct/12)*lf,),"")</f>
        <v/>
      </c>
      <c r="O17" s="85" t="str">
        <f>IF(A17&lt;=np,IF(G17&lt;0,'DESIGN CRIT'!D61*(G17-pt/12-ct/12)*lf,),"")</f>
        <v/>
      </c>
      <c r="P17" s="85" t="str">
        <f>IF(B17&lt;=np,IF(H17&gt;0,'DESIGN CRIT'!D61*(H17+pt/12+ct/12)*lf,),"")</f>
        <v/>
      </c>
      <c r="Q17" s="88" t="str">
        <f>IF(A17&lt;=np,IF(H17&gt;0,'DESIGN CRIT'!D61*(H17+pt/12+ct/12)*lf,),"")</f>
        <v/>
      </c>
      <c r="R17" s="88" t="str">
        <f>IF(B17&lt;=np,IF(H17&lt;0,'DESIGN CRIT'!D61*(H17-pt/12-ct/12)*lf,),"")</f>
        <v/>
      </c>
      <c r="V17" s="87"/>
    </row>
    <row r="18" spans="1:28" x14ac:dyDescent="0.2">
      <c r="A18" s="88">
        <v>14</v>
      </c>
      <c r="B18" s="85" t="str">
        <f>IF('DESIGN CRIT'!$F$45&gt;=14,$C48-$B$68,"")</f>
        <v/>
      </c>
      <c r="C18" s="85" t="str">
        <f>IF('DESIGN CRIT'!$F$45&gt;=14,$B48-$B$67,"")</f>
        <v/>
      </c>
      <c r="D18" s="85" t="str">
        <f>IF('DESIGN CRIT'!$F$45&gt;=14,$B18^2,"")</f>
        <v/>
      </c>
      <c r="E18" s="85" t="str">
        <f>IF('DESIGN CRIT'!$F$45&gt;=14,$C18^2,"")</f>
        <v/>
      </c>
      <c r="F18" s="85" t="str">
        <f>IF('DESIGN CRIT'!$F$45&gt;=14,$B18*$C18,"")</f>
        <v/>
      </c>
      <c r="G18" s="93" t="str">
        <f>IF('DESIGN CRIT'!$F$45&gt;=14,$B48-$B$67,"")</f>
        <v/>
      </c>
      <c r="H18" s="93" t="str">
        <f>IF('DESIGN CRIT'!$F$45&gt;=14,$C48-$B$68,"")</f>
        <v/>
      </c>
      <c r="I18" s="93" t="str">
        <f>IF(A18&lt;='DESIGN CRIT'!$F$45,SQRT(G18*G18+H18*H18),"")</f>
        <v/>
      </c>
      <c r="J18" s="88" t="str">
        <f>IF(A18&gt;np,"",IF(AND(ABS(G18)&lt;('DESIGN CRIT'!$E$30+'DESIGN CRIT'!$E$151)/12/2,ABS(H18)&lt;('DESIGN CRIT'!$E$30+'DESIGN CRIT'!$E$151)/12/2),"",'DESIGN CRIT'!D62*lf))</f>
        <v/>
      </c>
      <c r="K18" s="85" t="str">
        <f>IF(A18&lt;=np,IF(G18&lt;0,'DESIGN CRIT'!D62*(G18+'DESIGN CRIT'!$E$30/2/12-pt/12-ct/12)*lf,),"")</f>
        <v/>
      </c>
      <c r="L18" s="85" t="str">
        <f>IF(B18&lt;=np,IF(H18&gt;0,'DESIGN CRIT'!D62*(H18-'DESIGN CRIT'!$E$30/2/12+pt/12+ct/12)*lf,),"")</f>
        <v/>
      </c>
      <c r="M18" s="85" t="str">
        <f>IF(A18&lt;=np,IF(H18&gt;0,'DESIGN CRIT'!D62*(H18-'DESIGN CRIT'!$E$30/2/12+pt/12+ct/12)*lf,),"")</f>
        <v/>
      </c>
      <c r="N18" s="85" t="str">
        <f>IF(B18&lt;=np,IF(H18&lt;0,'DESIGN CRIT'!D62*(H18+'DESIGN CRIT'!$E$30/2/12-pt/12-ct/12)*lf,),"")</f>
        <v/>
      </c>
      <c r="O18" s="85" t="str">
        <f>IF(A18&lt;=np,IF(G18&lt;0,'DESIGN CRIT'!D62*(G18-pt/12-ct/12)*lf,),"")</f>
        <v/>
      </c>
      <c r="P18" s="85" t="str">
        <f>IF(B18&lt;=np,IF(H18&gt;0,'DESIGN CRIT'!D62*(H18+pt/12+ct/12)*lf,),"")</f>
        <v/>
      </c>
      <c r="Q18" s="88" t="str">
        <f>IF(A18&lt;=np,IF(H18&gt;0,'DESIGN CRIT'!D62*(H18+pt/12+ct/12)*lf,),"")</f>
        <v/>
      </c>
      <c r="R18" s="88" t="str">
        <f>IF(B18&lt;=np,IF(H18&lt;0,'DESIGN CRIT'!D62*(H18-pt/12-ct/12)*lf,),"")</f>
        <v/>
      </c>
      <c r="V18" s="87"/>
    </row>
    <row r="19" spans="1:28" x14ac:dyDescent="0.2">
      <c r="A19" s="88">
        <v>15</v>
      </c>
      <c r="B19" s="85" t="str">
        <f>IF('DESIGN CRIT'!$F$45&gt;=15,$C49-$B$68,"")</f>
        <v/>
      </c>
      <c r="C19" s="85" t="str">
        <f>IF('DESIGN CRIT'!$F$45&gt;=15,$B49-$B$67,"")</f>
        <v/>
      </c>
      <c r="D19" s="85" t="str">
        <f>IF('DESIGN CRIT'!$F$45&gt;=15,$B19^2,"")</f>
        <v/>
      </c>
      <c r="E19" s="85" t="str">
        <f>IF('DESIGN CRIT'!$F$45&gt;=15,$C19^2,"")</f>
        <v/>
      </c>
      <c r="F19" s="85" t="str">
        <f>IF('DESIGN CRIT'!$F$45&gt;=15,$B19*$C19,"")</f>
        <v/>
      </c>
      <c r="G19" s="93" t="str">
        <f>IF('DESIGN CRIT'!$F$45&gt;=15,$B49-$B$67,"")</f>
        <v/>
      </c>
      <c r="H19" s="93" t="str">
        <f>IF('DESIGN CRIT'!$F$45&gt;=15,$C49-$B$68,"")</f>
        <v/>
      </c>
      <c r="I19" s="93" t="str">
        <f>IF(A19&lt;='DESIGN CRIT'!$F$45,SQRT(G19*G19+H19*H19),"")</f>
        <v/>
      </c>
      <c r="J19" s="88" t="str">
        <f>IF(A19&gt;np,"",IF(AND(ABS(G19)&lt;('DESIGN CRIT'!$E$30+'DESIGN CRIT'!$E$151)/12/2,ABS(H19)&lt;('DESIGN CRIT'!$E$30+'DESIGN CRIT'!$E$151)/12/2),"",'DESIGN CRIT'!D63*lf))</f>
        <v/>
      </c>
      <c r="K19" s="85" t="str">
        <f>IF(A19&lt;=np,IF(G19&lt;0,'DESIGN CRIT'!D63*(G19+'DESIGN CRIT'!$E$30/2/12-pt/12-ct/12)*lf,),"")</f>
        <v/>
      </c>
      <c r="L19" s="85" t="str">
        <f>IF(B19&lt;=np,IF(H19&gt;0,'DESIGN CRIT'!D63*(H19-'DESIGN CRIT'!$E$30/2/12+pt/12+ct/12)*lf,),"")</f>
        <v/>
      </c>
      <c r="M19" s="85" t="str">
        <f>IF(A19&lt;=np,IF(H19&gt;0,'DESIGN CRIT'!D63*(H19-'DESIGN CRIT'!$E$30/2/12+pt/12+ct/12)*lf,),"")</f>
        <v/>
      </c>
      <c r="N19" s="85" t="str">
        <f>IF(B19&lt;=np,IF(H19&lt;0,'DESIGN CRIT'!D63*(H19+'DESIGN CRIT'!$E$30/2/12-pt/12-ct/12)*lf,),"")</f>
        <v/>
      </c>
      <c r="O19" s="85" t="str">
        <f>IF(A19&lt;=np,IF(G19&lt;0,'DESIGN CRIT'!D63*(G19-pt/12-ct/12)*lf,),"")</f>
        <v/>
      </c>
      <c r="P19" s="85" t="str">
        <f>IF(B19&lt;=np,IF(H19&gt;0,'DESIGN CRIT'!D63*(H19+pt/12+ct/12)*lf,),"")</f>
        <v/>
      </c>
      <c r="Q19" s="88" t="str">
        <f>IF(A19&lt;=np,IF(H19&gt;0,'DESIGN CRIT'!D63*(H19+pt/12+ct/12)*lf,),"")</f>
        <v/>
      </c>
      <c r="R19" s="88" t="str">
        <f>IF(B19&lt;=np,IF(H19&lt;0,'DESIGN CRIT'!D63*(H19-pt/12-ct/12)*lf,),"")</f>
        <v/>
      </c>
      <c r="V19" s="87"/>
    </row>
    <row r="20" spans="1:28" x14ac:dyDescent="0.2">
      <c r="A20" s="88">
        <v>16</v>
      </c>
      <c r="B20" s="85" t="str">
        <f>IF('DESIGN CRIT'!$F$45&gt;=16,$C50-$B$68,"")</f>
        <v/>
      </c>
      <c r="C20" s="85" t="str">
        <f>IF('DESIGN CRIT'!$F$45&gt;=16,$B50-$B$67,"")</f>
        <v/>
      </c>
      <c r="D20" s="85" t="str">
        <f>IF('DESIGN CRIT'!$F$45&gt;=16,$B20^2,"")</f>
        <v/>
      </c>
      <c r="E20" s="85" t="str">
        <f>IF('DESIGN CRIT'!$F$45&gt;=16,$C20^2,"")</f>
        <v/>
      </c>
      <c r="F20" s="85" t="str">
        <f>IF('DESIGN CRIT'!$F$45&gt;=16,$B20*$C20,"")</f>
        <v/>
      </c>
      <c r="G20" s="93" t="str">
        <f>IF('DESIGN CRIT'!$F$45&gt;=16,$B50-$B$67,"")</f>
        <v/>
      </c>
      <c r="H20" s="93" t="str">
        <f>IF('DESIGN CRIT'!$F$45&gt;=16,$C50-$B$68,"")</f>
        <v/>
      </c>
      <c r="I20" s="93" t="str">
        <f>IF(A20&lt;='DESIGN CRIT'!$F$45,SQRT(G20*G20+H20*H20),"")</f>
        <v/>
      </c>
      <c r="J20" s="88" t="str">
        <f>IF(A20&gt;np,"",IF(AND(ABS(G20)&lt;('DESIGN CRIT'!$E$30+'DESIGN CRIT'!$E$151)/12/2,ABS(H20)&lt;('DESIGN CRIT'!$E$30+'DESIGN CRIT'!$E$151)/12/2),"",'DESIGN CRIT'!D64*lf))</f>
        <v/>
      </c>
      <c r="K20" s="85" t="str">
        <f>IF(A20&lt;=np,IF(G20&lt;0,'DESIGN CRIT'!D64*(G20+'DESIGN CRIT'!$E$30/2/12-pt/12-ct/12)*lf,),"")</f>
        <v/>
      </c>
      <c r="L20" s="85" t="str">
        <f>IF(B20&lt;=np,IF(H20&gt;0,'DESIGN CRIT'!D64*(H20-'DESIGN CRIT'!$E$30/2/12+pt/12+ct/12)*lf,),"")</f>
        <v/>
      </c>
      <c r="M20" s="85" t="str">
        <f>IF(A20&lt;=np,IF(H20&gt;0,'DESIGN CRIT'!D64*(H20-'DESIGN CRIT'!$E$30/2/12+pt/12+ct/12)*lf,),"")</f>
        <v/>
      </c>
      <c r="N20" s="85" t="str">
        <f>IF(B20&lt;=np,IF(H20&lt;0,'DESIGN CRIT'!D64*(H20+'DESIGN CRIT'!$E$30/2/12-pt/12-ct/12)*lf,),"")</f>
        <v/>
      </c>
      <c r="O20" s="85" t="str">
        <f>IF(A20&lt;=np,IF(G20&lt;0,'DESIGN CRIT'!D64*(G20-pt/12-ct/12)*lf,),"")</f>
        <v/>
      </c>
      <c r="P20" s="85" t="str">
        <f>IF(B20&lt;=np,IF(H20&gt;0,'DESIGN CRIT'!D64*(H20+pt/12+ct/12)*lf,),"")</f>
        <v/>
      </c>
      <c r="Q20" s="88" t="str">
        <f>IF(A20&lt;=np,IF(H20&gt;0,'DESIGN CRIT'!D64*(H20+pt/12+ct/12)*lf,),"")</f>
        <v/>
      </c>
      <c r="R20" s="88" t="str">
        <f>IF(B20&lt;=np,IF(H20&lt;0,'DESIGN CRIT'!D64*(H20-pt/12-ct/12)*lf,),"")</f>
        <v/>
      </c>
      <c r="V20" s="87"/>
    </row>
    <row r="21" spans="1:28" x14ac:dyDescent="0.2">
      <c r="A21" s="88">
        <v>17</v>
      </c>
      <c r="B21" s="85" t="str">
        <f>IF('DESIGN CRIT'!$F$45&gt;=17,$C51-$B$68,"")</f>
        <v/>
      </c>
      <c r="C21" s="85" t="str">
        <f>IF('DESIGN CRIT'!$F$45&gt;=17,$B51-$B$67,"")</f>
        <v/>
      </c>
      <c r="D21" s="85" t="str">
        <f>IF('DESIGN CRIT'!$F$45&gt;=17,$B21^2,"")</f>
        <v/>
      </c>
      <c r="E21" s="85" t="str">
        <f>IF('DESIGN CRIT'!$F$45&gt;=17,$C21^2,"")</f>
        <v/>
      </c>
      <c r="F21" s="85" t="str">
        <f>IF('DESIGN CRIT'!$F$45&gt;=17,$B21*$C21,"")</f>
        <v/>
      </c>
      <c r="G21" s="93" t="str">
        <f>IF('DESIGN CRIT'!$F$45&gt;=17,$B51-$B$67,"")</f>
        <v/>
      </c>
      <c r="H21" s="93" t="str">
        <f>IF('DESIGN CRIT'!$F$45&gt;=17,$C51-$B$68,"")</f>
        <v/>
      </c>
      <c r="I21" s="93" t="str">
        <f>IF(A21&lt;='DESIGN CRIT'!$F$45,SQRT(G21*G21+H21*H21),"")</f>
        <v/>
      </c>
      <c r="J21" s="88" t="str">
        <f>IF(A21&gt;np,"",IF(AND(ABS(G21)&lt;('DESIGN CRIT'!$E$30+'DESIGN CRIT'!$E$151)/12/2,ABS(H21)&lt;('DESIGN CRIT'!$E$30+'DESIGN CRIT'!$E$151)/12/2),"",'DESIGN CRIT'!D65*lf))</f>
        <v/>
      </c>
      <c r="K21" s="85" t="str">
        <f>IF(A21&lt;=np,IF(G21&lt;0,'DESIGN CRIT'!D65*(G21+'DESIGN CRIT'!$E$30/2/12-pt/12-ct/12)*lf,),"")</f>
        <v/>
      </c>
      <c r="L21" s="85" t="str">
        <f>IF(B21&lt;=np,IF(H21&gt;0,'DESIGN CRIT'!D65*(H21-'DESIGN CRIT'!$E$30/2/12+pt/12+ct/12)*lf,),"")</f>
        <v/>
      </c>
      <c r="M21" s="85" t="str">
        <f>IF(A21&lt;=np,IF(H21&gt;0,'DESIGN CRIT'!D65*(H21-'DESIGN CRIT'!$E$30/2/12+pt/12+ct/12)*lf,),"")</f>
        <v/>
      </c>
      <c r="N21" s="85" t="str">
        <f>IF(B21&lt;=np,IF(H21&lt;0,'DESIGN CRIT'!D65*(H21+'DESIGN CRIT'!$E$30/2/12-pt/12-ct/12)*lf,),"")</f>
        <v/>
      </c>
      <c r="O21" s="85" t="str">
        <f>IF(A21&lt;=np,IF(G21&lt;0,'DESIGN CRIT'!D65*(G21-pt/12-ct/12)*lf,),"")</f>
        <v/>
      </c>
      <c r="P21" s="85" t="str">
        <f>IF(B21&lt;=np,IF(H21&gt;0,'DESIGN CRIT'!D65*(H21+pt/12+ct/12)*lf,),"")</f>
        <v/>
      </c>
      <c r="Q21" s="88" t="str">
        <f>IF(A21&lt;=np,IF(H21&gt;0,'DESIGN CRIT'!D65*(H21+pt/12+ct/12)*lf,),"")</f>
        <v/>
      </c>
      <c r="R21" s="88" t="str">
        <f>IF(B21&lt;=np,IF(H21&lt;0,'DESIGN CRIT'!D65*(H21-pt/12-ct/12)*lf,),"")</f>
        <v/>
      </c>
      <c r="V21" s="87"/>
    </row>
    <row r="22" spans="1:28" x14ac:dyDescent="0.2">
      <c r="A22" s="88">
        <v>18</v>
      </c>
      <c r="B22" s="85" t="str">
        <f>IF('DESIGN CRIT'!$F$45&gt;=18,$C52-$B$68,"")</f>
        <v/>
      </c>
      <c r="C22" s="85" t="str">
        <f>IF('DESIGN CRIT'!$F$45&gt;=18,$B52-$B$67,"")</f>
        <v/>
      </c>
      <c r="D22" s="85" t="str">
        <f>IF('DESIGN CRIT'!$F$45&gt;=18,$B22^2,"")</f>
        <v/>
      </c>
      <c r="E22" s="85" t="str">
        <f>IF('DESIGN CRIT'!$F$45&gt;=18,$C22^2,"")</f>
        <v/>
      </c>
      <c r="F22" s="85" t="str">
        <f>IF('DESIGN CRIT'!$F$45&gt;=18,$B22*$C22,"")</f>
        <v/>
      </c>
      <c r="G22" s="93" t="str">
        <f>IF('DESIGN CRIT'!$F$45&gt;=18,$B52-$B$67,"")</f>
        <v/>
      </c>
      <c r="H22" s="93" t="str">
        <f>IF('DESIGN CRIT'!$F$45&gt;=18,$C52-$B$68,"")</f>
        <v/>
      </c>
      <c r="I22" s="93" t="str">
        <f>IF(A22&lt;='DESIGN CRIT'!$F$45,SQRT(G22*G22+H22*H22),"")</f>
        <v/>
      </c>
      <c r="J22" s="88" t="str">
        <f>IF(A22&gt;np,"",IF(AND(ABS(G22)&lt;('DESIGN CRIT'!$E$30+'DESIGN CRIT'!$E$151)/12/2,ABS(H22)&lt;('DESIGN CRIT'!$E$30+'DESIGN CRIT'!$E$151)/12/2),"",'DESIGN CRIT'!D66*lf))</f>
        <v/>
      </c>
      <c r="K22" s="85" t="str">
        <f>IF(A22&lt;=np,IF(G22&lt;0,'DESIGN CRIT'!D66*(G22+'DESIGN CRIT'!$E$30/2/12-pt/12-ct/12)*lf,),"")</f>
        <v/>
      </c>
      <c r="L22" s="85" t="str">
        <f>IF(B22&lt;=np,IF(H22&gt;0,'DESIGN CRIT'!D66*(H22-'DESIGN CRIT'!$E$30/2/12+pt/12+ct/12)*lf,),"")</f>
        <v/>
      </c>
      <c r="M22" s="85" t="str">
        <f>IF(A22&lt;=np,IF(H22&gt;0,'DESIGN CRIT'!D66*(H22-'DESIGN CRIT'!$E$30/2/12+pt/12+ct/12)*lf,),"")</f>
        <v/>
      </c>
      <c r="N22" s="85" t="str">
        <f>IF(B22&lt;=np,IF(H22&lt;0,'DESIGN CRIT'!D66*(H22+'DESIGN CRIT'!$E$30/2/12-pt/12-ct/12)*lf,),"")</f>
        <v/>
      </c>
      <c r="O22" s="85" t="str">
        <f>IF(A22&lt;=np,IF(G22&lt;0,'DESIGN CRIT'!D66*(G22-pt/12-ct/12)*lf,),"")</f>
        <v/>
      </c>
      <c r="P22" s="85" t="str">
        <f>IF(B22&lt;=np,IF(H22&gt;0,'DESIGN CRIT'!D66*(H22+pt/12+ct/12)*lf,),"")</f>
        <v/>
      </c>
      <c r="Q22" s="88" t="str">
        <f>IF(A22&lt;=np,IF(H22&gt;0,'DESIGN CRIT'!D66*(H22+pt/12+ct/12)*lf,),"")</f>
        <v/>
      </c>
      <c r="R22" s="88" t="str">
        <f>IF(B22&lt;=np,IF(H22&lt;0,'DESIGN CRIT'!D66*(H22-pt/12-ct/12)*lf,),"")</f>
        <v/>
      </c>
      <c r="V22" s="87"/>
    </row>
    <row r="23" spans="1:28" x14ac:dyDescent="0.2">
      <c r="A23" s="88">
        <v>19</v>
      </c>
      <c r="B23" s="85" t="str">
        <f>IF('DESIGN CRIT'!$F$45&gt;=19,$C53-$B$68,"")</f>
        <v/>
      </c>
      <c r="C23" s="85" t="str">
        <f>IF('DESIGN CRIT'!$F$45&gt;=19,$B53-$B$67,"")</f>
        <v/>
      </c>
      <c r="D23" s="85" t="str">
        <f>IF('DESIGN CRIT'!$F$45&gt;=19,$B23^2,"")</f>
        <v/>
      </c>
      <c r="E23" s="85" t="str">
        <f>IF('DESIGN CRIT'!$F$45&gt;=19,$C23^2,"")</f>
        <v/>
      </c>
      <c r="F23" s="85" t="str">
        <f>IF('DESIGN CRIT'!$F$45&gt;=19,$B23*$C23,"")</f>
        <v/>
      </c>
      <c r="G23" s="93" t="str">
        <f>IF('DESIGN CRIT'!$F$45&gt;=19,$B53-$B$67,"")</f>
        <v/>
      </c>
      <c r="H23" s="93" t="str">
        <f>IF('DESIGN CRIT'!$F$45&gt;=19,$C53-$B$68,"")</f>
        <v/>
      </c>
      <c r="I23" s="93" t="str">
        <f>IF(A23&lt;='DESIGN CRIT'!$F$45,SQRT(G23*G23+H23*H23),"")</f>
        <v/>
      </c>
      <c r="J23" s="88" t="str">
        <f>IF(A23&gt;np,"",IF(AND(ABS(G23)&lt;('DESIGN CRIT'!$E$30+'DESIGN CRIT'!$E$151)/12/2,ABS(H23)&lt;('DESIGN CRIT'!$E$30+'DESIGN CRIT'!$E$151)/12/2),"",'DESIGN CRIT'!D67*lf))</f>
        <v/>
      </c>
      <c r="K23" s="85" t="str">
        <f>IF(A23&lt;=np,IF(G23&lt;0,'DESIGN CRIT'!D67*(G23+'DESIGN CRIT'!$E$30/2/12-pt/12-ct/12)*lf,),"")</f>
        <v/>
      </c>
      <c r="L23" s="85" t="str">
        <f>IF(B23&lt;=np,IF(H23&gt;0,'DESIGN CRIT'!D67*(H23-'DESIGN CRIT'!$E$30/2/12+pt/12+ct/12)*lf,),"")</f>
        <v/>
      </c>
      <c r="M23" s="85" t="str">
        <f>IF(A23&lt;=np,IF(H23&gt;0,'DESIGN CRIT'!D67*(H23-'DESIGN CRIT'!$E$30/2/12+pt/12+ct/12)*lf,),"")</f>
        <v/>
      </c>
      <c r="N23" s="85" t="str">
        <f>IF(B23&lt;=np,IF(H23&lt;0,'DESIGN CRIT'!D67*(H23+'DESIGN CRIT'!$E$30/2/12-pt/12-ct/12)*lf,),"")</f>
        <v/>
      </c>
      <c r="O23" s="85" t="str">
        <f>IF(A23&lt;=np,IF(G23&lt;0,'DESIGN CRIT'!D67*(G23-pt/12-ct/12)*lf,),"")</f>
        <v/>
      </c>
      <c r="P23" s="85" t="str">
        <f>IF(B23&lt;=np,IF(H23&gt;0,'DESIGN CRIT'!D67*(H23+pt/12+ct/12)*lf,),"")</f>
        <v/>
      </c>
      <c r="Q23" s="88" t="str">
        <f>IF(A23&lt;=np,IF(H23&gt;0,'DESIGN CRIT'!D67*(H23+pt/12+ct/12)*lf,),"")</f>
        <v/>
      </c>
      <c r="R23" s="88" t="str">
        <f>IF(B23&lt;=np,IF(H23&lt;0,'DESIGN CRIT'!D67*(H23-pt/12-ct/12)*lf,),"")</f>
        <v/>
      </c>
      <c r="V23" s="87"/>
    </row>
    <row r="24" spans="1:28" x14ac:dyDescent="0.2">
      <c r="A24" s="88">
        <v>20</v>
      </c>
      <c r="B24" s="85" t="str">
        <f>IF('DESIGN CRIT'!$F$45&gt;=20,$C54-$B$68,"")</f>
        <v/>
      </c>
      <c r="C24" s="85" t="str">
        <f>IF('DESIGN CRIT'!$F$45&gt;=20,$B54-$B$67,"")</f>
        <v/>
      </c>
      <c r="D24" s="85" t="str">
        <f>IF('DESIGN CRIT'!$F$45&gt;=20,$B24^2,"")</f>
        <v/>
      </c>
      <c r="E24" s="85" t="str">
        <f>IF('DESIGN CRIT'!$F$45&gt;=20,$C24^2,"")</f>
        <v/>
      </c>
      <c r="F24" s="85" t="str">
        <f>IF('DESIGN CRIT'!$F$45&gt;=20,$B24*$C24,"")</f>
        <v/>
      </c>
      <c r="G24" s="93" t="str">
        <f>IF('DESIGN CRIT'!$F$45&gt;=20,$B54-$B$67,"")</f>
        <v/>
      </c>
      <c r="H24" s="93" t="str">
        <f>IF('DESIGN CRIT'!$F$45&gt;=20,$C54-$B$68,"")</f>
        <v/>
      </c>
      <c r="I24" s="93" t="str">
        <f>IF(A24&lt;='DESIGN CRIT'!$F$45,SQRT(G24*G24+H24*H24),"")</f>
        <v/>
      </c>
      <c r="J24" s="88" t="str">
        <f>IF(A24&gt;np,"",IF(AND(ABS(G24)&lt;('DESIGN CRIT'!$E$30+'DESIGN CRIT'!$E$151)/12/2,ABS(H24)&lt;('DESIGN CRIT'!$E$30+'DESIGN CRIT'!$E$151)/12/2),"",'DESIGN CRIT'!D68*lf))</f>
        <v/>
      </c>
      <c r="K24" s="85" t="str">
        <f>IF(A24&lt;=np,IF(G24&lt;0,'DESIGN CRIT'!D68*(G24+'DESIGN CRIT'!$E$30/2/12-pt/12-ct/12)*lf,),"")</f>
        <v/>
      </c>
      <c r="L24" s="85" t="str">
        <f>IF(B24&lt;=np,IF(H24&gt;0,'DESIGN CRIT'!D68*(H24-'DESIGN CRIT'!$E$30/2/12+pt/12+ct/12)*lf,),"")</f>
        <v/>
      </c>
      <c r="M24" s="85" t="str">
        <f>IF(A24&lt;=np,IF(H24&gt;0,'DESIGN CRIT'!D68*(H24-'DESIGN CRIT'!$E$30/2/12+pt/12+ct/12)*lf,),"")</f>
        <v/>
      </c>
      <c r="N24" s="85" t="str">
        <f>IF(B24&lt;=np,IF(H24&lt;0,'DESIGN CRIT'!D68*(H24+'DESIGN CRIT'!$E$30/2/12-pt/12-ct/12)*lf,),"")</f>
        <v/>
      </c>
      <c r="O24" s="85" t="str">
        <f>IF(A24&lt;=np,IF(G24&lt;0,'DESIGN CRIT'!D68*(G24-pt/12-ct/12)*lf,),"")</f>
        <v/>
      </c>
      <c r="P24" s="85" t="str">
        <f>IF(B24&lt;=np,IF(H24&gt;0,'DESIGN CRIT'!D68*(H24+pt/12+ct/12)*lf,),"")</f>
        <v/>
      </c>
      <c r="Q24" s="88" t="str">
        <f>IF(A24&lt;=np,IF(H24&gt;0,'DESIGN CRIT'!D68*(H24+pt/12+ct/12)*lf,),"")</f>
        <v/>
      </c>
      <c r="R24" s="88" t="str">
        <f>IF(B24&lt;=np,IF(H24&lt;0,'DESIGN CRIT'!D68*(H24-pt/12-ct/12)*lf,),"")</f>
        <v/>
      </c>
      <c r="V24" s="87"/>
    </row>
    <row r="25" spans="1:28" x14ac:dyDescent="0.2">
      <c r="A25" s="88">
        <v>21</v>
      </c>
      <c r="B25" s="85" t="str">
        <f>IF('DESIGN CRIT'!$F$45&gt;=21,$C55-$B$68,"")</f>
        <v/>
      </c>
      <c r="C25" s="85" t="str">
        <f>IF('DESIGN CRIT'!$F$45&gt;=21,$B55-$B$67,"")</f>
        <v/>
      </c>
      <c r="D25" s="85" t="str">
        <f>IF('DESIGN CRIT'!$F$45&gt;=21,$B25^2,"")</f>
        <v/>
      </c>
      <c r="E25" s="85" t="str">
        <f>IF('DESIGN CRIT'!$F$45&gt;=21,$C25^2,"")</f>
        <v/>
      </c>
      <c r="F25" s="85" t="str">
        <f>IF('DESIGN CRIT'!$F$45&gt;=21,$B25*$C25,"")</f>
        <v/>
      </c>
      <c r="G25" s="93" t="str">
        <f>IF('DESIGN CRIT'!$F$45&gt;=21,$B55-$B$67,"")</f>
        <v/>
      </c>
      <c r="H25" s="93" t="str">
        <f>IF('DESIGN CRIT'!$F$45&gt;=21,$C55-$B$68,"")</f>
        <v/>
      </c>
      <c r="I25" s="93" t="str">
        <f>IF(A25&lt;='DESIGN CRIT'!$F$45,SQRT(G25*G25+H25*H25),"")</f>
        <v/>
      </c>
      <c r="J25" s="88" t="str">
        <f>IF(A25&gt;np,"",IF(AND(ABS(G25)&lt;('DESIGN CRIT'!$E$30+'DESIGN CRIT'!$E$151)/12/2,ABS(H25)&lt;('DESIGN CRIT'!$E$30+'DESIGN CRIT'!$E$151)/12/2),"",'DESIGN CRIT'!D69*lf))</f>
        <v/>
      </c>
      <c r="K25" s="85" t="str">
        <f>IF(A25&lt;=np,IF(G25&lt;0,'DESIGN CRIT'!D69*(G25+'DESIGN CRIT'!$E$30/2/12-pt/12-ct/12)*lf,),"")</f>
        <v/>
      </c>
      <c r="L25" s="85" t="str">
        <f>IF(B25&lt;=np,IF(H25&gt;0,'DESIGN CRIT'!D69*(H25-'DESIGN CRIT'!$E$30/2/12+pt/12+ct/12)*lf,),"")</f>
        <v/>
      </c>
      <c r="M25" s="85" t="str">
        <f>IF(A25&lt;=np,IF(H25&gt;0,'DESIGN CRIT'!D69*(H25-'DESIGN CRIT'!$E$30/2/12+pt/12+ct/12)*lf,),"")</f>
        <v/>
      </c>
      <c r="N25" s="85" t="str">
        <f>IF(B25&lt;=np,IF(H25&lt;0,'DESIGN CRIT'!D69*(H25+'DESIGN CRIT'!$E$30/2/12-pt/12-ct/12)*lf,),"")</f>
        <v/>
      </c>
      <c r="O25" s="85" t="str">
        <f>IF(A25&lt;=np,IF(G25&lt;0,'DESIGN CRIT'!D69*(G25-pt/12-ct/12)*lf,),"")</f>
        <v/>
      </c>
      <c r="P25" s="85" t="str">
        <f>IF(B25&lt;=np,IF(H25&gt;0,'DESIGN CRIT'!D69*(H25+pt/12+ct/12)*lf,),"")</f>
        <v/>
      </c>
      <c r="Q25" s="88" t="str">
        <f>IF(A25&lt;=np,IF(H25&gt;0,'DESIGN CRIT'!D69*(H25+pt/12+ct/12)*lf,),"")</f>
        <v/>
      </c>
      <c r="R25" s="88" t="str">
        <f>IF(B25&lt;=np,IF(H25&lt;0,'DESIGN CRIT'!D69*(H25-pt/12-ct/12)*lf,),"")</f>
        <v/>
      </c>
      <c r="V25" s="87"/>
    </row>
    <row r="26" spans="1:28" x14ac:dyDescent="0.2">
      <c r="A26" s="88">
        <v>22</v>
      </c>
      <c r="B26" s="85" t="str">
        <f>IF('DESIGN CRIT'!$F$45&gt;=22,$C56-$B$68,"")</f>
        <v/>
      </c>
      <c r="C26" s="85" t="str">
        <f>IF('DESIGN CRIT'!$F$45&gt;=22,$B56-$B$67,"")</f>
        <v/>
      </c>
      <c r="D26" s="85" t="str">
        <f>IF('DESIGN CRIT'!$F$45&gt;=22,$B26^2,"")</f>
        <v/>
      </c>
      <c r="E26" s="85" t="str">
        <f>IF('DESIGN CRIT'!$F$45&gt;=22,$C26^2,"")</f>
        <v/>
      </c>
      <c r="F26" s="85" t="str">
        <f>IF('DESIGN CRIT'!$F$45&gt;=22,$B26*$C26,"")</f>
        <v/>
      </c>
      <c r="G26" s="93" t="str">
        <f>IF('DESIGN CRIT'!$F$45&gt;=22,$B56-$B$67,"")</f>
        <v/>
      </c>
      <c r="H26" s="93" t="str">
        <f>IF('DESIGN CRIT'!$F$45&gt;=22,$C56-$B$68,"")</f>
        <v/>
      </c>
      <c r="I26" s="93" t="str">
        <f>IF(A26&lt;='DESIGN CRIT'!$F$45,SQRT(G26*G26+H26*H26),"")</f>
        <v/>
      </c>
      <c r="J26" s="88" t="str">
        <f>IF(A26&gt;np,"",IF(AND(ABS(G26)&lt;('DESIGN CRIT'!$E$30+'DESIGN CRIT'!$E$151)/12/2,ABS(H26)&lt;('DESIGN CRIT'!$E$30+'DESIGN CRIT'!$E$151)/12/2),"",'DESIGN CRIT'!D70*lf))</f>
        <v/>
      </c>
      <c r="K26" s="85" t="str">
        <f>IF(A26&lt;=np,IF(G26&lt;0,'DESIGN CRIT'!D70*(G26+'DESIGN CRIT'!$E$30/2/12-pt/12-ct/12)*lf,),"")</f>
        <v/>
      </c>
      <c r="L26" s="85" t="str">
        <f>IF(B26&lt;=np,IF(H26&gt;0,'DESIGN CRIT'!D70*(H26-'DESIGN CRIT'!$E$30/2/12+pt/12+ct/12)*lf,),"")</f>
        <v/>
      </c>
      <c r="M26" s="85" t="str">
        <f>IF(A26&lt;=np,IF(H26&gt;0,'DESIGN CRIT'!D70*(H26-'DESIGN CRIT'!$E$30/2/12+pt/12+ct/12)*lf,),"")</f>
        <v/>
      </c>
      <c r="N26" s="85" t="str">
        <f>IF(B26&lt;=np,IF(H26&lt;0,'DESIGN CRIT'!D70*(H26+'DESIGN CRIT'!$E$30/2/12-pt/12-ct/12)*lf,),"")</f>
        <v/>
      </c>
      <c r="O26" s="85" t="str">
        <f>IF(A26&lt;=np,IF(G26&lt;0,'DESIGN CRIT'!D70*(G26-pt/12-ct/12)*lf,),"")</f>
        <v/>
      </c>
      <c r="P26" s="85" t="str">
        <f>IF(B26&lt;=np,IF(H26&gt;0,'DESIGN CRIT'!D70*(H26+pt/12+ct/12)*lf,),"")</f>
        <v/>
      </c>
      <c r="Q26" s="88" t="str">
        <f>IF(A26&lt;=np,IF(H26&gt;0,'DESIGN CRIT'!D70*(H26+pt/12+ct/12)*lf,),"")</f>
        <v/>
      </c>
      <c r="R26" s="88" t="str">
        <f>IF(B26&lt;=np,IF(H26&lt;0,'DESIGN CRIT'!D70*(H26-pt/12-ct/12)*lf,),"")</f>
        <v/>
      </c>
      <c r="V26" s="87"/>
    </row>
    <row r="27" spans="1:28" x14ac:dyDescent="0.2">
      <c r="A27" s="88">
        <v>23</v>
      </c>
      <c r="B27" s="85" t="str">
        <f>IF('DESIGN CRIT'!$F$45&gt;=23,$C57-$B$68,"")</f>
        <v/>
      </c>
      <c r="C27" s="85" t="str">
        <f>IF('DESIGN CRIT'!$F$45&gt;=23,$B57-$B$67,"")</f>
        <v/>
      </c>
      <c r="D27" s="85" t="str">
        <f>IF('DESIGN CRIT'!$F$45&gt;=23,$B27^2,"")</f>
        <v/>
      </c>
      <c r="E27" s="85" t="str">
        <f>IF('DESIGN CRIT'!$F$45&gt;=23,$C27^2,"")</f>
        <v/>
      </c>
      <c r="F27" s="85" t="str">
        <f>IF('DESIGN CRIT'!$F$45&gt;=23,$B27*$C27,"")</f>
        <v/>
      </c>
      <c r="G27" s="93" t="str">
        <f>IF('DESIGN CRIT'!$F$45&gt;=23,$B57-$B$67,"")</f>
        <v/>
      </c>
      <c r="H27" s="93" t="str">
        <f>IF('DESIGN CRIT'!$F$45&gt;=23,$C57-$B$68,"")</f>
        <v/>
      </c>
      <c r="I27" s="93" t="str">
        <f>IF(A27&lt;='DESIGN CRIT'!$F$45,SQRT(G27*G27+H27*H27),"")</f>
        <v/>
      </c>
      <c r="J27" s="88" t="str">
        <f>IF(A27&gt;np,"",IF(AND(ABS(G27)&lt;('DESIGN CRIT'!$E$30+'DESIGN CRIT'!$E$151)/12/2,ABS(H27)&lt;('DESIGN CRIT'!$E$30+'DESIGN CRIT'!$E$151)/12/2),"",'DESIGN CRIT'!D71*lf))</f>
        <v/>
      </c>
      <c r="K27" s="85" t="str">
        <f>IF(A27&lt;=np,IF(G27&lt;0,'DESIGN CRIT'!D71*(G27+'DESIGN CRIT'!$E$30/2/12-pt/12-ct/12)*lf,),"")</f>
        <v/>
      </c>
      <c r="L27" s="85" t="str">
        <f>IF(B27&lt;=np,IF(H27&gt;0,'DESIGN CRIT'!D71*(H27-'DESIGN CRIT'!$E$30/2/12+pt/12+ct/12)*lf,),"")</f>
        <v/>
      </c>
      <c r="M27" s="85" t="str">
        <f>IF(A27&lt;=np,IF(H27&gt;0,'DESIGN CRIT'!D71*(H27-'DESIGN CRIT'!$E$30/2/12+pt/12+ct/12)*lf,),"")</f>
        <v/>
      </c>
      <c r="N27" s="85" t="str">
        <f>IF(B27&lt;=np,IF(H27&lt;0,'DESIGN CRIT'!D71*(H27+'DESIGN CRIT'!$E$30/2/12-pt/12-ct/12)*lf,),"")</f>
        <v/>
      </c>
      <c r="O27" s="85" t="str">
        <f>IF(A27&lt;=np,IF(G27&lt;0,'DESIGN CRIT'!D71*(G27-pt/12-ct/12)*lf,),"")</f>
        <v/>
      </c>
      <c r="P27" s="85" t="str">
        <f>IF(B27&lt;=np,IF(H27&gt;0,'DESIGN CRIT'!D71*(H27+pt/12+ct/12)*lf,),"")</f>
        <v/>
      </c>
      <c r="Q27" s="88" t="str">
        <f>IF(A27&lt;=np,IF(H27&gt;0,'DESIGN CRIT'!D71*(H27+pt/12+ct/12)*lf,),"")</f>
        <v/>
      </c>
      <c r="R27" s="88" t="str">
        <f>IF(B27&lt;=np,IF(H27&lt;0,'DESIGN CRIT'!D71*(H27-pt/12-ct/12)*lf,),"")</f>
        <v/>
      </c>
      <c r="V27" s="87"/>
    </row>
    <row r="28" spans="1:28" x14ac:dyDescent="0.2">
      <c r="A28" s="88">
        <v>24</v>
      </c>
      <c r="B28" s="85" t="str">
        <f>IF('DESIGN CRIT'!$F$45&gt;=24,$C58-$B$68,"")</f>
        <v/>
      </c>
      <c r="C28" s="85" t="str">
        <f>IF('DESIGN CRIT'!$F$45&gt;=24,$B58-$B$67,"")</f>
        <v/>
      </c>
      <c r="D28" s="85" t="str">
        <f>IF('DESIGN CRIT'!$F$45&gt;=24,$B28^2,"")</f>
        <v/>
      </c>
      <c r="E28" s="85" t="str">
        <f>IF('DESIGN CRIT'!$F$45&gt;=24,$C28^2,"")</f>
        <v/>
      </c>
      <c r="F28" s="85" t="str">
        <f>IF('DESIGN CRIT'!$F$45&gt;=24,$B28*$C28,"")</f>
        <v/>
      </c>
      <c r="G28" s="93" t="str">
        <f>IF('DESIGN CRIT'!$F$45&gt;=24,$B58-$B$67,"")</f>
        <v/>
      </c>
      <c r="H28" s="93" t="str">
        <f>IF('DESIGN CRIT'!$F$45&gt;=24,$C58-$B$68,"")</f>
        <v/>
      </c>
      <c r="I28" s="93" t="str">
        <f>IF(A28&lt;='DESIGN CRIT'!$F$45,SQRT(G28*G28+H28*H28),"")</f>
        <v/>
      </c>
      <c r="J28" s="88" t="str">
        <f>IF(A28&gt;np,"",IF(AND(ABS(G28)&lt;('DESIGN CRIT'!$E$30+'DESIGN CRIT'!$E$151)/12/2,ABS(H28)&lt;('DESIGN CRIT'!$E$30+'DESIGN CRIT'!$E$151)/12/2),"",'DESIGN CRIT'!D72*lf))</f>
        <v/>
      </c>
      <c r="K28" s="85" t="str">
        <f>IF(A28&lt;=np,IF(G28&lt;0,'DESIGN CRIT'!D72*(G28+'DESIGN CRIT'!$E$30/2/12-pt/12-ct/12)*lf,),"")</f>
        <v/>
      </c>
      <c r="L28" s="85" t="str">
        <f>IF(B28&lt;=np,IF(H28&gt;0,'DESIGN CRIT'!D72*(H28-'DESIGN CRIT'!$E$30/2/12+pt/12+ct/12)*lf,),"")</f>
        <v/>
      </c>
      <c r="M28" s="85" t="str">
        <f>IF(A28&lt;=np,IF(H28&gt;0,'DESIGN CRIT'!D72*(H28-'DESIGN CRIT'!$E$30/2/12+pt/12+ct/12)*lf,),"")</f>
        <v/>
      </c>
      <c r="N28" s="85" t="str">
        <f>IF(B28&lt;=np,IF(H28&lt;0,'DESIGN CRIT'!D72*(H28+'DESIGN CRIT'!$E$30/2/12-pt/12-ct/12)*lf,),"")</f>
        <v/>
      </c>
      <c r="O28" s="85" t="str">
        <f>IF(A28&lt;=np,IF(G28&lt;0,'DESIGN CRIT'!D72*(G28-pt/12-ct/12)*lf,),"")</f>
        <v/>
      </c>
      <c r="P28" s="85" t="str">
        <f>IF(B28&lt;=np,IF(H28&gt;0,'DESIGN CRIT'!D72*(H28+pt/12+ct/12)*lf,),"")</f>
        <v/>
      </c>
      <c r="Q28" s="88" t="str">
        <f>IF(A28&lt;=np,IF(H28&gt;0,'DESIGN CRIT'!D72*(H28+pt/12+ct/12)*lf,),"")</f>
        <v/>
      </c>
      <c r="R28" s="88" t="str">
        <f>IF(B28&lt;=np,IF(H28&lt;0,'DESIGN CRIT'!D72*(H28-pt/12-ct/12)*lf,),"")</f>
        <v/>
      </c>
      <c r="V28" s="87"/>
    </row>
    <row r="29" spans="1:28" x14ac:dyDescent="0.2">
      <c r="A29" s="88">
        <v>25</v>
      </c>
      <c r="B29" s="85" t="str">
        <f>IF('DESIGN CRIT'!$F$45=25,$C59-$B$68,"")</f>
        <v/>
      </c>
      <c r="C29" s="85" t="str">
        <f>IF('DESIGN CRIT'!$F$45=25,$B59-$B$67,"")</f>
        <v/>
      </c>
      <c r="D29" s="85" t="str">
        <f>IF('DESIGN CRIT'!$F$45=25,$B29^2,"")</f>
        <v/>
      </c>
      <c r="E29" s="85" t="str">
        <f>IF('DESIGN CRIT'!$F$45=25,$C29^2,"")</f>
        <v/>
      </c>
      <c r="F29" s="85" t="str">
        <f>IF('DESIGN CRIT'!$F$45=25,$B29*$C29,"")</f>
        <v/>
      </c>
      <c r="G29" s="93" t="str">
        <f>IF('DESIGN CRIT'!$F$45=25,$B59-$B$67,"")</f>
        <v/>
      </c>
      <c r="H29" s="93"/>
      <c r="I29" s="93"/>
      <c r="J29" s="88" t="str">
        <f>IF(A29&gt;np,"",IF(AND(ABS(G29)&lt;('DESIGN CRIT'!$E$30+'DESIGN CRIT'!$E$151)/12/2,ABS(H29)&lt;('DESIGN CRIT'!$E$30+'DESIGN CRIT'!$E$151)/12/2),"",'DESIGN CRIT'!D73*lf))</f>
        <v/>
      </c>
      <c r="K29" s="85" t="str">
        <f>IF(A29&lt;=np,IF(G29&lt;0,'DESIGN CRIT'!D73*(G29+'DESIGN CRIT'!$E$30/2/12-pt/12-ct/12)*lf,),"")</f>
        <v/>
      </c>
      <c r="L29" s="85" t="str">
        <f>IF(B29&lt;=np,IF(H29&gt;0,'DESIGN CRIT'!D73*(H29-'DESIGN CRIT'!$E$30/2/12+pt/12+ct/12)*lf,),"")</f>
        <v/>
      </c>
      <c r="M29" s="85" t="str">
        <f>IF(A29&lt;=np,IF(H29&gt;0,'DESIGN CRIT'!D73*(H29-'DESIGN CRIT'!$E$30/2/12+pt/12+ct/12)*lf,),"")</f>
        <v/>
      </c>
      <c r="N29" s="85" t="str">
        <f>IF(B29&lt;=np,IF(H29&lt;0,'DESIGN CRIT'!D73*(H29+'DESIGN CRIT'!$E$30/2/12-pt/12-ct/12)*lf,),"")</f>
        <v/>
      </c>
      <c r="O29" s="85" t="str">
        <f>IF(A29&lt;=np,IF(G29&lt;0,'DESIGN CRIT'!D73*(G29-pt/12-ct/12)*lf,),"")</f>
        <v/>
      </c>
      <c r="P29" s="85" t="str">
        <f>IF(B29&lt;=np,IF(H29&gt;0,'DESIGN CRIT'!D73*(H29+pt/12+ct/12)*lf,),"")</f>
        <v/>
      </c>
      <c r="Q29" s="88" t="str">
        <f>IF(A29&lt;=np,IF(H29&gt;0,'DESIGN CRIT'!D73*(H29+pt/12+ct/12)*lf,),"")</f>
        <v/>
      </c>
      <c r="R29" s="88" t="str">
        <f>IF(B29&lt;=np,IF(H29&lt;0,'DESIGN CRIT'!D73*(H29-pt/12-ct/12)*lf,),"")</f>
        <v/>
      </c>
      <c r="V29" s="87"/>
    </row>
    <row r="30" spans="1:28" x14ac:dyDescent="0.2">
      <c r="I30" s="95">
        <f t="array" aca="1" ref="I30" ca="1">SUM(IF('PILECAP WKST'!I5:I29&lt;&gt;0,'DESIGN CRIT'!D49:D73))*lf</f>
        <v>1920</v>
      </c>
      <c r="J30" s="87">
        <f ca="1">SUM(J5:J28)</f>
        <v>1600</v>
      </c>
      <c r="V30" s="87"/>
    </row>
    <row r="31" spans="1:28" x14ac:dyDescent="0.2">
      <c r="I31" s="88"/>
      <c r="K31" s="96"/>
      <c r="L31" s="96"/>
      <c r="M31" s="96"/>
      <c r="N31" s="96"/>
      <c r="V31" s="87"/>
    </row>
    <row r="32" spans="1:28" x14ac:dyDescent="0.2">
      <c r="A32" s="97" t="s">
        <v>52</v>
      </c>
      <c r="B32" s="221"/>
      <c r="C32" s="222"/>
      <c r="D32" s="98">
        <f t="array" ref="D32:AB32">TRANSPOSE(A35:A59)</f>
        <v>1</v>
      </c>
      <c r="E32" s="98">
        <v>2</v>
      </c>
      <c r="F32" s="98">
        <v>3</v>
      </c>
      <c r="G32" s="98">
        <v>4</v>
      </c>
      <c r="H32" s="98">
        <v>5</v>
      </c>
      <c r="I32" s="98">
        <v>6</v>
      </c>
      <c r="J32" s="98">
        <v>7</v>
      </c>
      <c r="K32" s="98">
        <v>8</v>
      </c>
      <c r="L32" s="98">
        <v>9</v>
      </c>
      <c r="M32" s="98">
        <v>10</v>
      </c>
      <c r="N32" s="98">
        <v>11</v>
      </c>
      <c r="O32" s="98">
        <v>12</v>
      </c>
      <c r="P32" s="98">
        <v>13</v>
      </c>
      <c r="Q32" s="98">
        <v>14</v>
      </c>
      <c r="R32" s="98">
        <v>15</v>
      </c>
      <c r="S32" s="98">
        <v>16</v>
      </c>
      <c r="T32" s="98">
        <v>17</v>
      </c>
      <c r="U32" s="98">
        <v>18</v>
      </c>
      <c r="V32" s="98">
        <v>19</v>
      </c>
      <c r="W32" s="98">
        <v>20</v>
      </c>
      <c r="X32" s="98">
        <v>21</v>
      </c>
      <c r="Y32" s="98">
        <v>22</v>
      </c>
      <c r="Z32" s="98">
        <v>23</v>
      </c>
      <c r="AA32" s="98">
        <v>24</v>
      </c>
      <c r="AB32" s="98">
        <v>25</v>
      </c>
    </row>
    <row r="33" spans="1:28" x14ac:dyDescent="0.2">
      <c r="A33" s="97"/>
      <c r="B33" s="221" t="s">
        <v>53</v>
      </c>
      <c r="C33" s="221" t="s">
        <v>47</v>
      </c>
      <c r="D33" s="98">
        <f t="array" ref="D33:AB34" ca="1">TRANSPOSE(B35:C59)</f>
        <v>-4.5</v>
      </c>
      <c r="E33" s="98">
        <f ca="1"/>
        <v>-1.5</v>
      </c>
      <c r="F33" s="98">
        <f ca="1"/>
        <v>1.5</v>
      </c>
      <c r="G33" s="98">
        <f ca="1"/>
        <v>4.5</v>
      </c>
      <c r="H33" s="98">
        <f ca="1"/>
        <v>-4.5</v>
      </c>
      <c r="I33" s="98">
        <f ca="1"/>
        <v>-1.5</v>
      </c>
      <c r="J33" s="98">
        <f ca="1"/>
        <v>1.5</v>
      </c>
      <c r="K33" s="98">
        <f ca="1"/>
        <v>4.5</v>
      </c>
      <c r="L33" s="98">
        <f ca="1"/>
        <v>-4.5</v>
      </c>
      <c r="M33" s="98">
        <f ca="1"/>
        <v>-1.5</v>
      </c>
      <c r="N33" s="98">
        <f ca="1"/>
        <v>1.5</v>
      </c>
      <c r="O33" s="98">
        <f ca="1"/>
        <v>4.5</v>
      </c>
      <c r="P33" s="98" t="str">
        <v/>
      </c>
      <c r="Q33" s="98" t="str">
        <v/>
      </c>
      <c r="R33" s="98" t="str">
        <v/>
      </c>
      <c r="S33" s="98" t="str">
        <v/>
      </c>
      <c r="T33" s="98" t="str">
        <v/>
      </c>
      <c r="U33" s="98" t="str">
        <v/>
      </c>
      <c r="V33" s="98" t="str">
        <v/>
      </c>
      <c r="W33" s="98" t="str">
        <v/>
      </c>
      <c r="X33" s="98" t="str">
        <v/>
      </c>
      <c r="Y33" s="98" t="str">
        <v/>
      </c>
      <c r="Z33" s="98" t="str">
        <v/>
      </c>
      <c r="AA33" s="98" t="str">
        <v/>
      </c>
      <c r="AB33" s="98" t="str">
        <v/>
      </c>
    </row>
    <row r="34" spans="1:28" x14ac:dyDescent="0.2">
      <c r="A34" s="97"/>
      <c r="B34" s="221" t="s">
        <v>47</v>
      </c>
      <c r="C34" s="221" t="s">
        <v>48</v>
      </c>
      <c r="D34" s="98">
        <f ca="1"/>
        <v>-3</v>
      </c>
      <c r="E34" s="98">
        <f ca="1"/>
        <v>-3</v>
      </c>
      <c r="F34" s="98">
        <f ca="1"/>
        <v>-3</v>
      </c>
      <c r="G34" s="98">
        <f ca="1"/>
        <v>-3</v>
      </c>
      <c r="H34" s="98">
        <f ca="1"/>
        <v>0</v>
      </c>
      <c r="I34" s="98">
        <f ca="1"/>
        <v>0</v>
      </c>
      <c r="J34" s="98">
        <f ca="1"/>
        <v>0</v>
      </c>
      <c r="K34" s="98">
        <f ca="1"/>
        <v>0</v>
      </c>
      <c r="L34" s="98">
        <f ca="1"/>
        <v>3</v>
      </c>
      <c r="M34" s="98">
        <f ca="1"/>
        <v>3</v>
      </c>
      <c r="N34" s="98">
        <f ca="1"/>
        <v>3</v>
      </c>
      <c r="O34" s="98">
        <f ca="1"/>
        <v>3</v>
      </c>
      <c r="P34" s="98" t="str">
        <v/>
      </c>
      <c r="Q34" s="98" t="str">
        <v/>
      </c>
      <c r="R34" s="98" t="str">
        <v/>
      </c>
      <c r="S34" s="98" t="str">
        <v/>
      </c>
      <c r="T34" s="98" t="str">
        <v/>
      </c>
      <c r="U34" s="98" t="str">
        <v/>
      </c>
      <c r="V34" s="98" t="str">
        <v/>
      </c>
      <c r="W34" s="98" t="str">
        <v/>
      </c>
      <c r="X34" s="98" t="str">
        <v/>
      </c>
      <c r="Y34" s="98" t="str">
        <v/>
      </c>
      <c r="Z34" s="98" t="str">
        <v/>
      </c>
      <c r="AA34" s="98" t="str">
        <v/>
      </c>
      <c r="AB34" s="98" t="str">
        <v/>
      </c>
    </row>
    <row r="35" spans="1:28" x14ac:dyDescent="0.2">
      <c r="A35" s="99">
        <f>'DESIGN CRIT'!A49</f>
        <v>1</v>
      </c>
      <c r="B35" s="223">
        <f ca="1">IF($A35&lt;=np,'DESIGN CRIT'!B49,"")</f>
        <v>-4.5</v>
      </c>
      <c r="C35" s="223">
        <f ca="1">IF($A35&lt;=np,'DESIGN CRIT'!C49,"")</f>
        <v>-3</v>
      </c>
      <c r="D35" s="98">
        <f t="shared" ref="D35:M44" ca="1" si="0">IF(AND($A35&lt;=np,D$32&lt;=np),SQRT(($B35-D$33)^2+($C35-D$34)^2),0)</f>
        <v>0</v>
      </c>
      <c r="E35" s="98">
        <f t="shared" ca="1" si="0"/>
        <v>3</v>
      </c>
      <c r="F35" s="98">
        <f t="shared" ca="1" si="0"/>
        <v>6</v>
      </c>
      <c r="G35" s="98">
        <f t="shared" ca="1" si="0"/>
        <v>9</v>
      </c>
      <c r="H35" s="98">
        <f t="shared" ca="1" si="0"/>
        <v>3</v>
      </c>
      <c r="I35" s="98">
        <f t="shared" ca="1" si="0"/>
        <v>4.2426406871192848</v>
      </c>
      <c r="J35" s="98">
        <f t="shared" ca="1" si="0"/>
        <v>6.7082039324993694</v>
      </c>
      <c r="K35" s="98">
        <f t="shared" ca="1" si="0"/>
        <v>9.4868329805051381</v>
      </c>
      <c r="L35" s="98">
        <f t="shared" ca="1" si="0"/>
        <v>6</v>
      </c>
      <c r="M35" s="98">
        <f t="shared" ca="1" si="0"/>
        <v>6.7082039324993694</v>
      </c>
      <c r="N35" s="98">
        <f t="shared" ref="N35:AB44" ca="1" si="1">IF(AND($A35&lt;=np,N$32&lt;=np),SQRT(($B35-N$33)^2+($C35-N$34)^2),0)</f>
        <v>8.4852813742385695</v>
      </c>
      <c r="O35" s="98">
        <f t="shared" ca="1" si="1"/>
        <v>10.816653826391969</v>
      </c>
      <c r="P35" s="98">
        <f t="shared" si="1"/>
        <v>0</v>
      </c>
      <c r="Q35" s="98">
        <f t="shared" si="1"/>
        <v>0</v>
      </c>
      <c r="R35" s="98">
        <f t="shared" si="1"/>
        <v>0</v>
      </c>
      <c r="S35" s="98">
        <f t="shared" si="1"/>
        <v>0</v>
      </c>
      <c r="T35" s="98">
        <f t="shared" si="1"/>
        <v>0</v>
      </c>
      <c r="U35" s="98">
        <f t="shared" si="1"/>
        <v>0</v>
      </c>
      <c r="V35" s="98">
        <f t="shared" si="1"/>
        <v>0</v>
      </c>
      <c r="W35" s="98">
        <f t="shared" si="1"/>
        <v>0</v>
      </c>
      <c r="X35" s="98">
        <f t="shared" si="1"/>
        <v>0</v>
      </c>
      <c r="Y35" s="98">
        <f t="shared" si="1"/>
        <v>0</v>
      </c>
      <c r="Z35" s="98">
        <f t="shared" si="1"/>
        <v>0</v>
      </c>
      <c r="AA35" s="98">
        <f t="shared" si="1"/>
        <v>0</v>
      </c>
      <c r="AB35" s="98">
        <f t="shared" si="1"/>
        <v>0</v>
      </c>
    </row>
    <row r="36" spans="1:28" x14ac:dyDescent="0.2">
      <c r="A36" s="99">
        <f>'DESIGN CRIT'!A50</f>
        <v>2</v>
      </c>
      <c r="B36" s="223">
        <f ca="1">IF($A36&lt;=np,'DESIGN CRIT'!B50,"")</f>
        <v>-1.5</v>
      </c>
      <c r="C36" s="223">
        <f ca="1">IF($A36&lt;=np,'DESIGN CRIT'!C50,"")</f>
        <v>-3</v>
      </c>
      <c r="D36" s="98">
        <f t="shared" ca="1" si="0"/>
        <v>3</v>
      </c>
      <c r="E36" s="98">
        <f t="shared" ca="1" si="0"/>
        <v>0</v>
      </c>
      <c r="F36" s="98">
        <f t="shared" ca="1" si="0"/>
        <v>3</v>
      </c>
      <c r="G36" s="98">
        <f t="shared" ca="1" si="0"/>
        <v>6</v>
      </c>
      <c r="H36" s="98">
        <f t="shared" ca="1" si="0"/>
        <v>4.2426406871192848</v>
      </c>
      <c r="I36" s="98">
        <f t="shared" ca="1" si="0"/>
        <v>3</v>
      </c>
      <c r="J36" s="98">
        <f t="shared" ca="1" si="0"/>
        <v>4.2426406871192848</v>
      </c>
      <c r="K36" s="98">
        <f t="shared" ca="1" si="0"/>
        <v>6.7082039324993694</v>
      </c>
      <c r="L36" s="98">
        <f t="shared" ca="1" si="0"/>
        <v>6.7082039324993694</v>
      </c>
      <c r="M36" s="98">
        <f t="shared" ca="1" si="0"/>
        <v>6</v>
      </c>
      <c r="N36" s="98">
        <f t="shared" ca="1" si="1"/>
        <v>6.7082039324993694</v>
      </c>
      <c r="O36" s="98">
        <f t="shared" ca="1" si="1"/>
        <v>8.4852813742385695</v>
      </c>
      <c r="P36" s="98">
        <f t="shared" si="1"/>
        <v>0</v>
      </c>
      <c r="Q36" s="98">
        <f t="shared" si="1"/>
        <v>0</v>
      </c>
      <c r="R36" s="98">
        <f t="shared" si="1"/>
        <v>0</v>
      </c>
      <c r="S36" s="98">
        <f t="shared" si="1"/>
        <v>0</v>
      </c>
      <c r="T36" s="98">
        <f t="shared" si="1"/>
        <v>0</v>
      </c>
      <c r="U36" s="98">
        <f t="shared" si="1"/>
        <v>0</v>
      </c>
      <c r="V36" s="98">
        <f t="shared" si="1"/>
        <v>0</v>
      </c>
      <c r="W36" s="98">
        <f t="shared" si="1"/>
        <v>0</v>
      </c>
      <c r="X36" s="98">
        <f t="shared" si="1"/>
        <v>0</v>
      </c>
      <c r="Y36" s="98">
        <f t="shared" si="1"/>
        <v>0</v>
      </c>
      <c r="Z36" s="98">
        <f t="shared" si="1"/>
        <v>0</v>
      </c>
      <c r="AA36" s="98">
        <f t="shared" si="1"/>
        <v>0</v>
      </c>
      <c r="AB36" s="98">
        <f t="shared" si="1"/>
        <v>0</v>
      </c>
    </row>
    <row r="37" spans="1:28" x14ac:dyDescent="0.2">
      <c r="A37" s="99">
        <f>'DESIGN CRIT'!A51</f>
        <v>3</v>
      </c>
      <c r="B37" s="223">
        <f ca="1">IF($A37&lt;=np,'DESIGN CRIT'!B51,"")</f>
        <v>1.5</v>
      </c>
      <c r="C37" s="223">
        <f ca="1">IF($A37&lt;=np,'DESIGN CRIT'!C51,"")</f>
        <v>-3</v>
      </c>
      <c r="D37" s="98">
        <f t="shared" ca="1" si="0"/>
        <v>6</v>
      </c>
      <c r="E37" s="98">
        <f t="shared" ca="1" si="0"/>
        <v>3</v>
      </c>
      <c r="F37" s="98">
        <f t="shared" ca="1" si="0"/>
        <v>0</v>
      </c>
      <c r="G37" s="98">
        <f t="shared" ca="1" si="0"/>
        <v>3</v>
      </c>
      <c r="H37" s="98">
        <f t="shared" ca="1" si="0"/>
        <v>6.7082039324993694</v>
      </c>
      <c r="I37" s="98">
        <f t="shared" ca="1" si="0"/>
        <v>4.2426406871192848</v>
      </c>
      <c r="J37" s="98">
        <f t="shared" ca="1" si="0"/>
        <v>3</v>
      </c>
      <c r="K37" s="98">
        <f t="shared" ca="1" si="0"/>
        <v>4.2426406871192848</v>
      </c>
      <c r="L37" s="98">
        <f t="shared" ca="1" si="0"/>
        <v>8.4852813742385695</v>
      </c>
      <c r="M37" s="98">
        <f t="shared" ca="1" si="0"/>
        <v>6.7082039324993694</v>
      </c>
      <c r="N37" s="98">
        <f t="shared" ca="1" si="1"/>
        <v>6</v>
      </c>
      <c r="O37" s="98">
        <f t="shared" ca="1" si="1"/>
        <v>6.7082039324993694</v>
      </c>
      <c r="P37" s="98">
        <f t="shared" si="1"/>
        <v>0</v>
      </c>
      <c r="Q37" s="98">
        <f t="shared" si="1"/>
        <v>0</v>
      </c>
      <c r="R37" s="98">
        <f t="shared" si="1"/>
        <v>0</v>
      </c>
      <c r="S37" s="98">
        <f t="shared" si="1"/>
        <v>0</v>
      </c>
      <c r="T37" s="98">
        <f t="shared" si="1"/>
        <v>0</v>
      </c>
      <c r="U37" s="98">
        <f t="shared" si="1"/>
        <v>0</v>
      </c>
      <c r="V37" s="98">
        <f t="shared" si="1"/>
        <v>0</v>
      </c>
      <c r="W37" s="98">
        <f t="shared" si="1"/>
        <v>0</v>
      </c>
      <c r="X37" s="98">
        <f t="shared" si="1"/>
        <v>0</v>
      </c>
      <c r="Y37" s="98">
        <f t="shared" si="1"/>
        <v>0</v>
      </c>
      <c r="Z37" s="98">
        <f t="shared" si="1"/>
        <v>0</v>
      </c>
      <c r="AA37" s="98">
        <f t="shared" si="1"/>
        <v>0</v>
      </c>
      <c r="AB37" s="98">
        <f t="shared" si="1"/>
        <v>0</v>
      </c>
    </row>
    <row r="38" spans="1:28" x14ac:dyDescent="0.2">
      <c r="A38" s="99">
        <f>'DESIGN CRIT'!A52</f>
        <v>4</v>
      </c>
      <c r="B38" s="223">
        <f ca="1">IF($A38&lt;=np,'DESIGN CRIT'!B52,"")</f>
        <v>4.5</v>
      </c>
      <c r="C38" s="223">
        <f ca="1">IF($A38&lt;=np,'DESIGN CRIT'!C52,"")</f>
        <v>-3</v>
      </c>
      <c r="D38" s="98">
        <f t="shared" ca="1" si="0"/>
        <v>9</v>
      </c>
      <c r="E38" s="98">
        <f t="shared" ca="1" si="0"/>
        <v>6</v>
      </c>
      <c r="F38" s="98">
        <f t="shared" ca="1" si="0"/>
        <v>3</v>
      </c>
      <c r="G38" s="98">
        <f t="shared" ca="1" si="0"/>
        <v>0</v>
      </c>
      <c r="H38" s="98">
        <f t="shared" ca="1" si="0"/>
        <v>9.4868329805051381</v>
      </c>
      <c r="I38" s="98">
        <f t="shared" ca="1" si="0"/>
        <v>6.7082039324993694</v>
      </c>
      <c r="J38" s="98">
        <f t="shared" ca="1" si="0"/>
        <v>4.2426406871192848</v>
      </c>
      <c r="K38" s="98">
        <f t="shared" ca="1" si="0"/>
        <v>3</v>
      </c>
      <c r="L38" s="98">
        <f t="shared" ca="1" si="0"/>
        <v>10.816653826391969</v>
      </c>
      <c r="M38" s="98">
        <f t="shared" ca="1" si="0"/>
        <v>8.4852813742385695</v>
      </c>
      <c r="N38" s="98">
        <f t="shared" ca="1" si="1"/>
        <v>6.7082039324993694</v>
      </c>
      <c r="O38" s="98">
        <f t="shared" ca="1" si="1"/>
        <v>6</v>
      </c>
      <c r="P38" s="98">
        <f t="shared" si="1"/>
        <v>0</v>
      </c>
      <c r="Q38" s="98">
        <f t="shared" si="1"/>
        <v>0</v>
      </c>
      <c r="R38" s="98">
        <f t="shared" si="1"/>
        <v>0</v>
      </c>
      <c r="S38" s="98">
        <f t="shared" si="1"/>
        <v>0</v>
      </c>
      <c r="T38" s="98">
        <f t="shared" si="1"/>
        <v>0</v>
      </c>
      <c r="U38" s="98">
        <f t="shared" si="1"/>
        <v>0</v>
      </c>
      <c r="V38" s="98">
        <f t="shared" si="1"/>
        <v>0</v>
      </c>
      <c r="W38" s="98">
        <f t="shared" si="1"/>
        <v>0</v>
      </c>
      <c r="X38" s="98">
        <f t="shared" si="1"/>
        <v>0</v>
      </c>
      <c r="Y38" s="98">
        <f t="shared" si="1"/>
        <v>0</v>
      </c>
      <c r="Z38" s="98">
        <f t="shared" si="1"/>
        <v>0</v>
      </c>
      <c r="AA38" s="98">
        <f t="shared" si="1"/>
        <v>0</v>
      </c>
      <c r="AB38" s="98">
        <f t="shared" si="1"/>
        <v>0</v>
      </c>
    </row>
    <row r="39" spans="1:28" x14ac:dyDescent="0.2">
      <c r="A39" s="99">
        <f>'DESIGN CRIT'!A53</f>
        <v>5</v>
      </c>
      <c r="B39" s="223">
        <f ca="1">IF($A39&lt;=np,'DESIGN CRIT'!B53,"")</f>
        <v>-4.5</v>
      </c>
      <c r="C39" s="223">
        <f ca="1">IF($A39&lt;=np,'DESIGN CRIT'!C53,"")</f>
        <v>0</v>
      </c>
      <c r="D39" s="98">
        <f t="shared" ca="1" si="0"/>
        <v>3</v>
      </c>
      <c r="E39" s="98">
        <f t="shared" ca="1" si="0"/>
        <v>4.2426406871192848</v>
      </c>
      <c r="F39" s="98">
        <f t="shared" ca="1" si="0"/>
        <v>6.7082039324993694</v>
      </c>
      <c r="G39" s="98">
        <f t="shared" ca="1" si="0"/>
        <v>9.4868329805051381</v>
      </c>
      <c r="H39" s="98">
        <f t="shared" ca="1" si="0"/>
        <v>0</v>
      </c>
      <c r="I39" s="98">
        <f t="shared" ca="1" si="0"/>
        <v>3</v>
      </c>
      <c r="J39" s="98">
        <f t="shared" ca="1" si="0"/>
        <v>6</v>
      </c>
      <c r="K39" s="98">
        <f t="shared" ca="1" si="0"/>
        <v>9</v>
      </c>
      <c r="L39" s="98">
        <f t="shared" ca="1" si="0"/>
        <v>3</v>
      </c>
      <c r="M39" s="98">
        <f t="shared" ca="1" si="0"/>
        <v>4.2426406871192848</v>
      </c>
      <c r="N39" s="98">
        <f t="shared" ca="1" si="1"/>
        <v>6.7082039324993694</v>
      </c>
      <c r="O39" s="98">
        <f t="shared" ca="1" si="1"/>
        <v>9.4868329805051381</v>
      </c>
      <c r="P39" s="98">
        <f t="shared" si="1"/>
        <v>0</v>
      </c>
      <c r="Q39" s="98">
        <f t="shared" si="1"/>
        <v>0</v>
      </c>
      <c r="R39" s="98">
        <f t="shared" si="1"/>
        <v>0</v>
      </c>
      <c r="S39" s="98">
        <f t="shared" si="1"/>
        <v>0</v>
      </c>
      <c r="T39" s="98">
        <f t="shared" si="1"/>
        <v>0</v>
      </c>
      <c r="U39" s="98">
        <f t="shared" si="1"/>
        <v>0</v>
      </c>
      <c r="V39" s="98">
        <f t="shared" si="1"/>
        <v>0</v>
      </c>
      <c r="W39" s="98">
        <f t="shared" si="1"/>
        <v>0</v>
      </c>
      <c r="X39" s="98">
        <f t="shared" si="1"/>
        <v>0</v>
      </c>
      <c r="Y39" s="98">
        <f t="shared" si="1"/>
        <v>0</v>
      </c>
      <c r="Z39" s="98">
        <f t="shared" si="1"/>
        <v>0</v>
      </c>
      <c r="AA39" s="98">
        <f t="shared" si="1"/>
        <v>0</v>
      </c>
      <c r="AB39" s="98">
        <f t="shared" si="1"/>
        <v>0</v>
      </c>
    </row>
    <row r="40" spans="1:28" x14ac:dyDescent="0.2">
      <c r="A40" s="99">
        <f>'DESIGN CRIT'!A54</f>
        <v>6</v>
      </c>
      <c r="B40" s="223">
        <f ca="1">IF($A40&lt;=np,'DESIGN CRIT'!B54,"")</f>
        <v>-1.5</v>
      </c>
      <c r="C40" s="223">
        <f ca="1">IF($A40&lt;=np,'DESIGN CRIT'!C54,"")</f>
        <v>0</v>
      </c>
      <c r="D40" s="98">
        <f t="shared" ca="1" si="0"/>
        <v>4.2426406871192848</v>
      </c>
      <c r="E40" s="98">
        <f t="shared" ca="1" si="0"/>
        <v>3</v>
      </c>
      <c r="F40" s="98">
        <f t="shared" ca="1" si="0"/>
        <v>4.2426406871192848</v>
      </c>
      <c r="G40" s="98">
        <f t="shared" ca="1" si="0"/>
        <v>6.7082039324993694</v>
      </c>
      <c r="H40" s="98">
        <f t="shared" ca="1" si="0"/>
        <v>3</v>
      </c>
      <c r="I40" s="98">
        <f t="shared" ca="1" si="0"/>
        <v>0</v>
      </c>
      <c r="J40" s="98">
        <f t="shared" ca="1" si="0"/>
        <v>3</v>
      </c>
      <c r="K40" s="98">
        <f t="shared" ca="1" si="0"/>
        <v>6</v>
      </c>
      <c r="L40" s="98">
        <f t="shared" ca="1" si="0"/>
        <v>4.2426406871192848</v>
      </c>
      <c r="M40" s="98">
        <f t="shared" ca="1" si="0"/>
        <v>3</v>
      </c>
      <c r="N40" s="98">
        <f t="shared" ca="1" si="1"/>
        <v>4.2426406871192848</v>
      </c>
      <c r="O40" s="98">
        <f t="shared" ca="1" si="1"/>
        <v>6.7082039324993694</v>
      </c>
      <c r="P40" s="98">
        <f t="shared" si="1"/>
        <v>0</v>
      </c>
      <c r="Q40" s="98">
        <f t="shared" si="1"/>
        <v>0</v>
      </c>
      <c r="R40" s="98">
        <f t="shared" si="1"/>
        <v>0</v>
      </c>
      <c r="S40" s="98">
        <f t="shared" si="1"/>
        <v>0</v>
      </c>
      <c r="T40" s="98">
        <f t="shared" si="1"/>
        <v>0</v>
      </c>
      <c r="U40" s="98">
        <f t="shared" si="1"/>
        <v>0</v>
      </c>
      <c r="V40" s="98">
        <f t="shared" si="1"/>
        <v>0</v>
      </c>
      <c r="W40" s="98">
        <f t="shared" si="1"/>
        <v>0</v>
      </c>
      <c r="X40" s="98">
        <f t="shared" si="1"/>
        <v>0</v>
      </c>
      <c r="Y40" s="98">
        <f t="shared" si="1"/>
        <v>0</v>
      </c>
      <c r="Z40" s="98">
        <f t="shared" si="1"/>
        <v>0</v>
      </c>
      <c r="AA40" s="98">
        <f t="shared" si="1"/>
        <v>0</v>
      </c>
      <c r="AB40" s="98">
        <f t="shared" si="1"/>
        <v>0</v>
      </c>
    </row>
    <row r="41" spans="1:28" x14ac:dyDescent="0.2">
      <c r="A41" s="99">
        <f>'DESIGN CRIT'!A55</f>
        <v>7</v>
      </c>
      <c r="B41" s="223">
        <f ca="1">IF($A41&lt;=np,'DESIGN CRIT'!B55,"")</f>
        <v>1.5</v>
      </c>
      <c r="C41" s="223">
        <f ca="1">IF($A41&lt;=np,'DESIGN CRIT'!C55,"")</f>
        <v>0</v>
      </c>
      <c r="D41" s="98">
        <f t="shared" ca="1" si="0"/>
        <v>6.7082039324993694</v>
      </c>
      <c r="E41" s="98">
        <f t="shared" ca="1" si="0"/>
        <v>4.2426406871192848</v>
      </c>
      <c r="F41" s="98">
        <f t="shared" ca="1" si="0"/>
        <v>3</v>
      </c>
      <c r="G41" s="98">
        <f t="shared" ca="1" si="0"/>
        <v>4.2426406871192848</v>
      </c>
      <c r="H41" s="98">
        <f t="shared" ca="1" si="0"/>
        <v>6</v>
      </c>
      <c r="I41" s="98">
        <f t="shared" ca="1" si="0"/>
        <v>3</v>
      </c>
      <c r="J41" s="98">
        <f t="shared" ca="1" si="0"/>
        <v>0</v>
      </c>
      <c r="K41" s="98">
        <f t="shared" ca="1" si="0"/>
        <v>3</v>
      </c>
      <c r="L41" s="98">
        <f t="shared" ca="1" si="0"/>
        <v>6.7082039324993694</v>
      </c>
      <c r="M41" s="98">
        <f t="shared" ca="1" si="0"/>
        <v>4.2426406871192848</v>
      </c>
      <c r="N41" s="98">
        <f t="shared" ca="1" si="1"/>
        <v>3</v>
      </c>
      <c r="O41" s="98">
        <f t="shared" ca="1" si="1"/>
        <v>4.2426406871192848</v>
      </c>
      <c r="P41" s="98">
        <f t="shared" si="1"/>
        <v>0</v>
      </c>
      <c r="Q41" s="98">
        <f t="shared" si="1"/>
        <v>0</v>
      </c>
      <c r="R41" s="98">
        <f t="shared" si="1"/>
        <v>0</v>
      </c>
      <c r="S41" s="98">
        <f t="shared" si="1"/>
        <v>0</v>
      </c>
      <c r="T41" s="98">
        <f t="shared" si="1"/>
        <v>0</v>
      </c>
      <c r="U41" s="98">
        <f t="shared" si="1"/>
        <v>0</v>
      </c>
      <c r="V41" s="98">
        <f t="shared" si="1"/>
        <v>0</v>
      </c>
      <c r="W41" s="98">
        <f t="shared" si="1"/>
        <v>0</v>
      </c>
      <c r="X41" s="98">
        <f t="shared" si="1"/>
        <v>0</v>
      </c>
      <c r="Y41" s="98">
        <f t="shared" si="1"/>
        <v>0</v>
      </c>
      <c r="Z41" s="98">
        <f t="shared" si="1"/>
        <v>0</v>
      </c>
      <c r="AA41" s="98">
        <f t="shared" si="1"/>
        <v>0</v>
      </c>
      <c r="AB41" s="98">
        <f t="shared" si="1"/>
        <v>0</v>
      </c>
    </row>
    <row r="42" spans="1:28" x14ac:dyDescent="0.2">
      <c r="A42" s="99">
        <f>'DESIGN CRIT'!A56</f>
        <v>8</v>
      </c>
      <c r="B42" s="223">
        <f ca="1">IF($A42&lt;=np,'DESIGN CRIT'!B56,"")</f>
        <v>4.5</v>
      </c>
      <c r="C42" s="223">
        <f ca="1">IF($A42&lt;=np,'DESIGN CRIT'!C56,"")</f>
        <v>0</v>
      </c>
      <c r="D42" s="98">
        <f t="shared" ca="1" si="0"/>
        <v>9.4868329805051381</v>
      </c>
      <c r="E42" s="98">
        <f t="shared" ca="1" si="0"/>
        <v>6.7082039324993694</v>
      </c>
      <c r="F42" s="98">
        <f t="shared" ca="1" si="0"/>
        <v>4.2426406871192848</v>
      </c>
      <c r="G42" s="98">
        <f t="shared" ca="1" si="0"/>
        <v>3</v>
      </c>
      <c r="H42" s="98">
        <f t="shared" ca="1" si="0"/>
        <v>9</v>
      </c>
      <c r="I42" s="98">
        <f t="shared" ca="1" si="0"/>
        <v>6</v>
      </c>
      <c r="J42" s="98">
        <f t="shared" ca="1" si="0"/>
        <v>3</v>
      </c>
      <c r="K42" s="98">
        <f t="shared" ca="1" si="0"/>
        <v>0</v>
      </c>
      <c r="L42" s="98">
        <f t="shared" ca="1" si="0"/>
        <v>9.4868329805051381</v>
      </c>
      <c r="M42" s="98">
        <f t="shared" ca="1" si="0"/>
        <v>6.7082039324993694</v>
      </c>
      <c r="N42" s="98">
        <f t="shared" ca="1" si="1"/>
        <v>4.2426406871192848</v>
      </c>
      <c r="O42" s="98">
        <f t="shared" ca="1" si="1"/>
        <v>3</v>
      </c>
      <c r="P42" s="98">
        <f t="shared" si="1"/>
        <v>0</v>
      </c>
      <c r="Q42" s="98">
        <f t="shared" si="1"/>
        <v>0</v>
      </c>
      <c r="R42" s="98">
        <f t="shared" si="1"/>
        <v>0</v>
      </c>
      <c r="S42" s="98">
        <f t="shared" si="1"/>
        <v>0</v>
      </c>
      <c r="T42" s="98">
        <f t="shared" si="1"/>
        <v>0</v>
      </c>
      <c r="U42" s="98">
        <f t="shared" si="1"/>
        <v>0</v>
      </c>
      <c r="V42" s="98">
        <f t="shared" si="1"/>
        <v>0</v>
      </c>
      <c r="W42" s="98">
        <f t="shared" si="1"/>
        <v>0</v>
      </c>
      <c r="X42" s="98">
        <f t="shared" si="1"/>
        <v>0</v>
      </c>
      <c r="Y42" s="98">
        <f t="shared" si="1"/>
        <v>0</v>
      </c>
      <c r="Z42" s="98">
        <f t="shared" si="1"/>
        <v>0</v>
      </c>
      <c r="AA42" s="98">
        <f t="shared" si="1"/>
        <v>0</v>
      </c>
      <c r="AB42" s="98">
        <f t="shared" si="1"/>
        <v>0</v>
      </c>
    </row>
    <row r="43" spans="1:28" x14ac:dyDescent="0.2">
      <c r="A43" s="99">
        <f>'DESIGN CRIT'!A57</f>
        <v>9</v>
      </c>
      <c r="B43" s="223">
        <f ca="1">IF($A43&lt;=np,'DESIGN CRIT'!B57,"")</f>
        <v>-4.5</v>
      </c>
      <c r="C43" s="223">
        <f ca="1">IF($A43&lt;=np,'DESIGN CRIT'!C57,"")</f>
        <v>3</v>
      </c>
      <c r="D43" s="98">
        <f t="shared" ca="1" si="0"/>
        <v>6</v>
      </c>
      <c r="E43" s="98">
        <f t="shared" ca="1" si="0"/>
        <v>6.7082039324993694</v>
      </c>
      <c r="F43" s="98">
        <f t="shared" ca="1" si="0"/>
        <v>8.4852813742385695</v>
      </c>
      <c r="G43" s="98">
        <f t="shared" ca="1" si="0"/>
        <v>10.816653826391969</v>
      </c>
      <c r="H43" s="98">
        <f t="shared" ca="1" si="0"/>
        <v>3</v>
      </c>
      <c r="I43" s="98">
        <f t="shared" ca="1" si="0"/>
        <v>4.2426406871192848</v>
      </c>
      <c r="J43" s="98">
        <f t="shared" ca="1" si="0"/>
        <v>6.7082039324993694</v>
      </c>
      <c r="K43" s="98">
        <f t="shared" ca="1" si="0"/>
        <v>9.4868329805051381</v>
      </c>
      <c r="L43" s="98">
        <f t="shared" ca="1" si="0"/>
        <v>0</v>
      </c>
      <c r="M43" s="98">
        <f t="shared" ca="1" si="0"/>
        <v>3</v>
      </c>
      <c r="N43" s="98">
        <f t="shared" ca="1" si="1"/>
        <v>6</v>
      </c>
      <c r="O43" s="98">
        <f t="shared" ca="1" si="1"/>
        <v>9</v>
      </c>
      <c r="P43" s="98">
        <f t="shared" si="1"/>
        <v>0</v>
      </c>
      <c r="Q43" s="98">
        <f t="shared" si="1"/>
        <v>0</v>
      </c>
      <c r="R43" s="98">
        <f t="shared" si="1"/>
        <v>0</v>
      </c>
      <c r="S43" s="98">
        <f t="shared" si="1"/>
        <v>0</v>
      </c>
      <c r="T43" s="98">
        <f t="shared" si="1"/>
        <v>0</v>
      </c>
      <c r="U43" s="98">
        <f t="shared" si="1"/>
        <v>0</v>
      </c>
      <c r="V43" s="98">
        <f t="shared" si="1"/>
        <v>0</v>
      </c>
      <c r="W43" s="98">
        <f t="shared" si="1"/>
        <v>0</v>
      </c>
      <c r="X43" s="98">
        <f t="shared" si="1"/>
        <v>0</v>
      </c>
      <c r="Y43" s="98">
        <f t="shared" si="1"/>
        <v>0</v>
      </c>
      <c r="Z43" s="98">
        <f t="shared" si="1"/>
        <v>0</v>
      </c>
      <c r="AA43" s="98">
        <f t="shared" si="1"/>
        <v>0</v>
      </c>
      <c r="AB43" s="98">
        <f t="shared" si="1"/>
        <v>0</v>
      </c>
    </row>
    <row r="44" spans="1:28" x14ac:dyDescent="0.2">
      <c r="A44" s="99">
        <f>'DESIGN CRIT'!A58</f>
        <v>10</v>
      </c>
      <c r="B44" s="223">
        <f ca="1">IF($A44&lt;=np,'DESIGN CRIT'!B58,"")</f>
        <v>-1.5</v>
      </c>
      <c r="C44" s="223">
        <f ca="1">IF($A44&lt;=np,'DESIGN CRIT'!C58,"")</f>
        <v>3</v>
      </c>
      <c r="D44" s="98">
        <f t="shared" ca="1" si="0"/>
        <v>6.7082039324993694</v>
      </c>
      <c r="E44" s="98">
        <f t="shared" ca="1" si="0"/>
        <v>6</v>
      </c>
      <c r="F44" s="98">
        <f t="shared" ca="1" si="0"/>
        <v>6.7082039324993694</v>
      </c>
      <c r="G44" s="98">
        <f t="shared" ca="1" si="0"/>
        <v>8.4852813742385695</v>
      </c>
      <c r="H44" s="98">
        <f t="shared" ca="1" si="0"/>
        <v>4.2426406871192848</v>
      </c>
      <c r="I44" s="98">
        <f t="shared" ca="1" si="0"/>
        <v>3</v>
      </c>
      <c r="J44" s="98">
        <f t="shared" ca="1" si="0"/>
        <v>4.2426406871192848</v>
      </c>
      <c r="K44" s="98">
        <f t="shared" ca="1" si="0"/>
        <v>6.7082039324993694</v>
      </c>
      <c r="L44" s="98">
        <f t="shared" ca="1" si="0"/>
        <v>3</v>
      </c>
      <c r="M44" s="98">
        <f t="shared" ca="1" si="0"/>
        <v>0</v>
      </c>
      <c r="N44" s="98">
        <f t="shared" ca="1" si="1"/>
        <v>3</v>
      </c>
      <c r="O44" s="98">
        <f t="shared" ca="1" si="1"/>
        <v>6</v>
      </c>
      <c r="P44" s="98">
        <f t="shared" si="1"/>
        <v>0</v>
      </c>
      <c r="Q44" s="98">
        <f t="shared" si="1"/>
        <v>0</v>
      </c>
      <c r="R44" s="98">
        <f t="shared" si="1"/>
        <v>0</v>
      </c>
      <c r="S44" s="98">
        <f t="shared" si="1"/>
        <v>0</v>
      </c>
      <c r="T44" s="98">
        <f t="shared" si="1"/>
        <v>0</v>
      </c>
      <c r="U44" s="98">
        <f t="shared" si="1"/>
        <v>0</v>
      </c>
      <c r="V44" s="98">
        <f t="shared" si="1"/>
        <v>0</v>
      </c>
      <c r="W44" s="98">
        <f t="shared" si="1"/>
        <v>0</v>
      </c>
      <c r="X44" s="98">
        <f t="shared" si="1"/>
        <v>0</v>
      </c>
      <c r="Y44" s="98">
        <f t="shared" si="1"/>
        <v>0</v>
      </c>
      <c r="Z44" s="98">
        <f t="shared" si="1"/>
        <v>0</v>
      </c>
      <c r="AA44" s="98">
        <f t="shared" si="1"/>
        <v>0</v>
      </c>
      <c r="AB44" s="98">
        <f t="shared" si="1"/>
        <v>0</v>
      </c>
    </row>
    <row r="45" spans="1:28" x14ac:dyDescent="0.2">
      <c r="A45" s="99">
        <f>'DESIGN CRIT'!A59</f>
        <v>11</v>
      </c>
      <c r="B45" s="223">
        <f ca="1">IF($A45&lt;=np,'DESIGN CRIT'!B59,"")</f>
        <v>1.5</v>
      </c>
      <c r="C45" s="223">
        <f ca="1">IF($A45&lt;=np,'DESIGN CRIT'!C59,"")</f>
        <v>3</v>
      </c>
      <c r="D45" s="98">
        <f t="shared" ref="D45:M59" ca="1" si="2">IF(AND($A45&lt;=np,D$32&lt;=np),SQRT(($B45-D$33)^2+($C45-D$34)^2),0)</f>
        <v>8.4852813742385695</v>
      </c>
      <c r="E45" s="98">
        <f t="shared" ca="1" si="2"/>
        <v>6.7082039324993694</v>
      </c>
      <c r="F45" s="98">
        <f t="shared" ca="1" si="2"/>
        <v>6</v>
      </c>
      <c r="G45" s="98">
        <f t="shared" ca="1" si="2"/>
        <v>6.7082039324993694</v>
      </c>
      <c r="H45" s="98">
        <f t="shared" ca="1" si="2"/>
        <v>6.7082039324993694</v>
      </c>
      <c r="I45" s="98">
        <f t="shared" ca="1" si="2"/>
        <v>4.2426406871192848</v>
      </c>
      <c r="J45" s="98">
        <f t="shared" ca="1" si="2"/>
        <v>3</v>
      </c>
      <c r="K45" s="98">
        <f t="shared" ca="1" si="2"/>
        <v>4.2426406871192848</v>
      </c>
      <c r="L45" s="98">
        <f t="shared" ca="1" si="2"/>
        <v>6</v>
      </c>
      <c r="M45" s="98">
        <f t="shared" ca="1" si="2"/>
        <v>3</v>
      </c>
      <c r="N45" s="98">
        <f t="shared" ref="N45:AB59" ca="1" si="3">IF(AND($A45&lt;=np,N$32&lt;=np),SQRT(($B45-N$33)^2+($C45-N$34)^2),0)</f>
        <v>0</v>
      </c>
      <c r="O45" s="98">
        <f t="shared" ca="1" si="3"/>
        <v>3</v>
      </c>
      <c r="P45" s="98">
        <f t="shared" si="3"/>
        <v>0</v>
      </c>
      <c r="Q45" s="98">
        <f t="shared" si="3"/>
        <v>0</v>
      </c>
      <c r="R45" s="98">
        <f t="shared" si="3"/>
        <v>0</v>
      </c>
      <c r="S45" s="98">
        <f t="shared" si="3"/>
        <v>0</v>
      </c>
      <c r="T45" s="98">
        <f t="shared" si="3"/>
        <v>0</v>
      </c>
      <c r="U45" s="98">
        <f t="shared" si="3"/>
        <v>0</v>
      </c>
      <c r="V45" s="98">
        <f t="shared" si="3"/>
        <v>0</v>
      </c>
      <c r="W45" s="98">
        <f t="shared" si="3"/>
        <v>0</v>
      </c>
      <c r="X45" s="98">
        <f t="shared" si="3"/>
        <v>0</v>
      </c>
      <c r="Y45" s="98">
        <f t="shared" si="3"/>
        <v>0</v>
      </c>
      <c r="Z45" s="98">
        <f t="shared" si="3"/>
        <v>0</v>
      </c>
      <c r="AA45" s="98">
        <f t="shared" si="3"/>
        <v>0</v>
      </c>
      <c r="AB45" s="98">
        <f t="shared" si="3"/>
        <v>0</v>
      </c>
    </row>
    <row r="46" spans="1:28" x14ac:dyDescent="0.2">
      <c r="A46" s="99">
        <f>'DESIGN CRIT'!A60</f>
        <v>12</v>
      </c>
      <c r="B46" s="223">
        <f ca="1">IF($A46&lt;=np,'DESIGN CRIT'!B60,"")</f>
        <v>4.5</v>
      </c>
      <c r="C46" s="223">
        <f ca="1">IF($A46&lt;=np,'DESIGN CRIT'!C60,"")</f>
        <v>3</v>
      </c>
      <c r="D46" s="98">
        <f t="shared" ca="1" si="2"/>
        <v>10.816653826391969</v>
      </c>
      <c r="E46" s="98">
        <f t="shared" ca="1" si="2"/>
        <v>8.4852813742385695</v>
      </c>
      <c r="F46" s="98">
        <f t="shared" ca="1" si="2"/>
        <v>6.7082039324993694</v>
      </c>
      <c r="G46" s="98">
        <f t="shared" ca="1" si="2"/>
        <v>6</v>
      </c>
      <c r="H46" s="98">
        <f t="shared" ca="1" si="2"/>
        <v>9.4868329805051381</v>
      </c>
      <c r="I46" s="98">
        <f t="shared" ca="1" si="2"/>
        <v>6.7082039324993694</v>
      </c>
      <c r="J46" s="98">
        <f t="shared" ca="1" si="2"/>
        <v>4.2426406871192848</v>
      </c>
      <c r="K46" s="98">
        <f t="shared" ca="1" si="2"/>
        <v>3</v>
      </c>
      <c r="L46" s="98">
        <f t="shared" ca="1" si="2"/>
        <v>9</v>
      </c>
      <c r="M46" s="98">
        <f t="shared" ca="1" si="2"/>
        <v>6</v>
      </c>
      <c r="N46" s="98">
        <f t="shared" ca="1" si="3"/>
        <v>3</v>
      </c>
      <c r="O46" s="98">
        <f t="shared" ca="1" si="3"/>
        <v>0</v>
      </c>
      <c r="P46" s="98">
        <f t="shared" si="3"/>
        <v>0</v>
      </c>
      <c r="Q46" s="98">
        <f t="shared" si="3"/>
        <v>0</v>
      </c>
      <c r="R46" s="98">
        <f t="shared" si="3"/>
        <v>0</v>
      </c>
      <c r="S46" s="98">
        <f t="shared" si="3"/>
        <v>0</v>
      </c>
      <c r="T46" s="98">
        <f t="shared" si="3"/>
        <v>0</v>
      </c>
      <c r="U46" s="98">
        <f t="shared" si="3"/>
        <v>0</v>
      </c>
      <c r="V46" s="98">
        <f t="shared" si="3"/>
        <v>0</v>
      </c>
      <c r="W46" s="98">
        <f t="shared" si="3"/>
        <v>0</v>
      </c>
      <c r="X46" s="98">
        <f t="shared" si="3"/>
        <v>0</v>
      </c>
      <c r="Y46" s="98">
        <f t="shared" si="3"/>
        <v>0</v>
      </c>
      <c r="Z46" s="98">
        <f t="shared" si="3"/>
        <v>0</v>
      </c>
      <c r="AA46" s="98">
        <f t="shared" si="3"/>
        <v>0</v>
      </c>
      <c r="AB46" s="98">
        <f t="shared" si="3"/>
        <v>0</v>
      </c>
    </row>
    <row r="47" spans="1:28" x14ac:dyDescent="0.2">
      <c r="A47" s="99">
        <f>'DESIGN CRIT'!A61</f>
        <v>13</v>
      </c>
      <c r="B47" s="223" t="str">
        <f>IF($A47&lt;=np,'DESIGN CRIT'!B61,"")</f>
        <v/>
      </c>
      <c r="C47" s="223" t="str">
        <f>IF($A47&lt;=np,'DESIGN CRIT'!C61,"")</f>
        <v/>
      </c>
      <c r="D47" s="98">
        <f t="shared" si="2"/>
        <v>0</v>
      </c>
      <c r="E47" s="98">
        <f t="shared" si="2"/>
        <v>0</v>
      </c>
      <c r="F47" s="98">
        <f t="shared" si="2"/>
        <v>0</v>
      </c>
      <c r="G47" s="98">
        <f t="shared" si="2"/>
        <v>0</v>
      </c>
      <c r="H47" s="98">
        <f t="shared" si="2"/>
        <v>0</v>
      </c>
      <c r="I47" s="98">
        <f t="shared" si="2"/>
        <v>0</v>
      </c>
      <c r="J47" s="98">
        <f t="shared" si="2"/>
        <v>0</v>
      </c>
      <c r="K47" s="98">
        <f t="shared" si="2"/>
        <v>0</v>
      </c>
      <c r="L47" s="98">
        <f t="shared" si="2"/>
        <v>0</v>
      </c>
      <c r="M47" s="98">
        <f t="shared" si="2"/>
        <v>0</v>
      </c>
      <c r="N47" s="98">
        <f t="shared" si="3"/>
        <v>0</v>
      </c>
      <c r="O47" s="98">
        <f t="shared" si="3"/>
        <v>0</v>
      </c>
      <c r="P47" s="98">
        <f t="shared" si="3"/>
        <v>0</v>
      </c>
      <c r="Q47" s="98">
        <f t="shared" si="3"/>
        <v>0</v>
      </c>
      <c r="R47" s="98">
        <f t="shared" si="3"/>
        <v>0</v>
      </c>
      <c r="S47" s="98">
        <f t="shared" si="3"/>
        <v>0</v>
      </c>
      <c r="T47" s="98">
        <f t="shared" si="3"/>
        <v>0</v>
      </c>
      <c r="U47" s="98">
        <f t="shared" si="3"/>
        <v>0</v>
      </c>
      <c r="V47" s="98">
        <f t="shared" si="3"/>
        <v>0</v>
      </c>
      <c r="W47" s="98">
        <f t="shared" si="3"/>
        <v>0</v>
      </c>
      <c r="X47" s="98">
        <f t="shared" si="3"/>
        <v>0</v>
      </c>
      <c r="Y47" s="98">
        <f t="shared" si="3"/>
        <v>0</v>
      </c>
      <c r="Z47" s="98">
        <f t="shared" si="3"/>
        <v>0</v>
      </c>
      <c r="AA47" s="98">
        <f t="shared" si="3"/>
        <v>0</v>
      </c>
      <c r="AB47" s="98">
        <f t="shared" si="3"/>
        <v>0</v>
      </c>
    </row>
    <row r="48" spans="1:28" x14ac:dyDescent="0.2">
      <c r="A48" s="99">
        <f>'DESIGN CRIT'!A62</f>
        <v>14</v>
      </c>
      <c r="B48" s="223" t="str">
        <f>IF($A48&lt;=np,'DESIGN CRIT'!B62,"")</f>
        <v/>
      </c>
      <c r="C48" s="223" t="str">
        <f>IF($A48&lt;=np,'DESIGN CRIT'!C62,"")</f>
        <v/>
      </c>
      <c r="D48" s="98">
        <f t="shared" si="2"/>
        <v>0</v>
      </c>
      <c r="E48" s="98">
        <f t="shared" si="2"/>
        <v>0</v>
      </c>
      <c r="F48" s="98">
        <f t="shared" si="2"/>
        <v>0</v>
      </c>
      <c r="G48" s="98">
        <f t="shared" si="2"/>
        <v>0</v>
      </c>
      <c r="H48" s="98">
        <f t="shared" si="2"/>
        <v>0</v>
      </c>
      <c r="I48" s="98">
        <f t="shared" si="2"/>
        <v>0</v>
      </c>
      <c r="J48" s="98">
        <f t="shared" si="2"/>
        <v>0</v>
      </c>
      <c r="K48" s="98">
        <f t="shared" si="2"/>
        <v>0</v>
      </c>
      <c r="L48" s="98">
        <f t="shared" si="2"/>
        <v>0</v>
      </c>
      <c r="M48" s="98">
        <f t="shared" si="2"/>
        <v>0</v>
      </c>
      <c r="N48" s="98">
        <f t="shared" si="3"/>
        <v>0</v>
      </c>
      <c r="O48" s="98">
        <f t="shared" si="3"/>
        <v>0</v>
      </c>
      <c r="P48" s="98">
        <f t="shared" si="3"/>
        <v>0</v>
      </c>
      <c r="Q48" s="98">
        <f t="shared" si="3"/>
        <v>0</v>
      </c>
      <c r="R48" s="98">
        <f t="shared" si="3"/>
        <v>0</v>
      </c>
      <c r="S48" s="98">
        <f t="shared" si="3"/>
        <v>0</v>
      </c>
      <c r="T48" s="98">
        <f t="shared" si="3"/>
        <v>0</v>
      </c>
      <c r="U48" s="98">
        <f t="shared" si="3"/>
        <v>0</v>
      </c>
      <c r="V48" s="98">
        <f t="shared" si="3"/>
        <v>0</v>
      </c>
      <c r="W48" s="98">
        <f t="shared" si="3"/>
        <v>0</v>
      </c>
      <c r="X48" s="98">
        <f t="shared" si="3"/>
        <v>0</v>
      </c>
      <c r="Y48" s="98">
        <f t="shared" si="3"/>
        <v>0</v>
      </c>
      <c r="Z48" s="98">
        <f t="shared" si="3"/>
        <v>0</v>
      </c>
      <c r="AA48" s="98">
        <f t="shared" si="3"/>
        <v>0</v>
      </c>
      <c r="AB48" s="98">
        <f t="shared" si="3"/>
        <v>0</v>
      </c>
    </row>
    <row r="49" spans="1:28" x14ac:dyDescent="0.2">
      <c r="A49" s="99">
        <f>'DESIGN CRIT'!A63</f>
        <v>15</v>
      </c>
      <c r="B49" s="223" t="str">
        <f>IF($A49&lt;=np,'DESIGN CRIT'!B63,"")</f>
        <v/>
      </c>
      <c r="C49" s="223" t="str">
        <f>IF($A49&lt;=np,'DESIGN CRIT'!C63,"")</f>
        <v/>
      </c>
      <c r="D49" s="98">
        <f t="shared" si="2"/>
        <v>0</v>
      </c>
      <c r="E49" s="98">
        <f t="shared" si="2"/>
        <v>0</v>
      </c>
      <c r="F49" s="98">
        <f t="shared" si="2"/>
        <v>0</v>
      </c>
      <c r="G49" s="98">
        <f t="shared" si="2"/>
        <v>0</v>
      </c>
      <c r="H49" s="98">
        <f t="shared" si="2"/>
        <v>0</v>
      </c>
      <c r="I49" s="98">
        <f t="shared" si="2"/>
        <v>0</v>
      </c>
      <c r="J49" s="98">
        <f t="shared" si="2"/>
        <v>0</v>
      </c>
      <c r="K49" s="98">
        <f t="shared" si="2"/>
        <v>0</v>
      </c>
      <c r="L49" s="98">
        <f t="shared" si="2"/>
        <v>0</v>
      </c>
      <c r="M49" s="98">
        <f t="shared" si="2"/>
        <v>0</v>
      </c>
      <c r="N49" s="98">
        <f t="shared" si="3"/>
        <v>0</v>
      </c>
      <c r="O49" s="98">
        <f t="shared" si="3"/>
        <v>0</v>
      </c>
      <c r="P49" s="98">
        <f t="shared" si="3"/>
        <v>0</v>
      </c>
      <c r="Q49" s="98">
        <f t="shared" si="3"/>
        <v>0</v>
      </c>
      <c r="R49" s="98">
        <f t="shared" si="3"/>
        <v>0</v>
      </c>
      <c r="S49" s="98">
        <f t="shared" si="3"/>
        <v>0</v>
      </c>
      <c r="T49" s="98">
        <f t="shared" si="3"/>
        <v>0</v>
      </c>
      <c r="U49" s="98">
        <f t="shared" si="3"/>
        <v>0</v>
      </c>
      <c r="V49" s="98">
        <f t="shared" si="3"/>
        <v>0</v>
      </c>
      <c r="W49" s="98">
        <f t="shared" si="3"/>
        <v>0</v>
      </c>
      <c r="X49" s="98">
        <f t="shared" si="3"/>
        <v>0</v>
      </c>
      <c r="Y49" s="98">
        <f t="shared" si="3"/>
        <v>0</v>
      </c>
      <c r="Z49" s="98">
        <f t="shared" si="3"/>
        <v>0</v>
      </c>
      <c r="AA49" s="98">
        <f t="shared" si="3"/>
        <v>0</v>
      </c>
      <c r="AB49" s="98">
        <f t="shared" si="3"/>
        <v>0</v>
      </c>
    </row>
    <row r="50" spans="1:28" x14ac:dyDescent="0.2">
      <c r="A50" s="99">
        <f>'DESIGN CRIT'!A64</f>
        <v>16</v>
      </c>
      <c r="B50" s="223" t="str">
        <f>IF($A50&lt;=np,'DESIGN CRIT'!B64,"")</f>
        <v/>
      </c>
      <c r="C50" s="223" t="str">
        <f>IF($A50&lt;=np,'DESIGN CRIT'!C64,"")</f>
        <v/>
      </c>
      <c r="D50" s="98">
        <f t="shared" si="2"/>
        <v>0</v>
      </c>
      <c r="E50" s="98">
        <f t="shared" si="2"/>
        <v>0</v>
      </c>
      <c r="F50" s="98">
        <f t="shared" si="2"/>
        <v>0</v>
      </c>
      <c r="G50" s="98">
        <f t="shared" si="2"/>
        <v>0</v>
      </c>
      <c r="H50" s="98">
        <f t="shared" si="2"/>
        <v>0</v>
      </c>
      <c r="I50" s="98">
        <f t="shared" si="2"/>
        <v>0</v>
      </c>
      <c r="J50" s="98">
        <f t="shared" si="2"/>
        <v>0</v>
      </c>
      <c r="K50" s="98">
        <f t="shared" si="2"/>
        <v>0</v>
      </c>
      <c r="L50" s="98">
        <f t="shared" si="2"/>
        <v>0</v>
      </c>
      <c r="M50" s="98">
        <f t="shared" si="2"/>
        <v>0</v>
      </c>
      <c r="N50" s="98">
        <f t="shared" si="3"/>
        <v>0</v>
      </c>
      <c r="O50" s="98">
        <f t="shared" si="3"/>
        <v>0</v>
      </c>
      <c r="P50" s="98">
        <f t="shared" si="3"/>
        <v>0</v>
      </c>
      <c r="Q50" s="98">
        <f t="shared" si="3"/>
        <v>0</v>
      </c>
      <c r="R50" s="98">
        <f t="shared" si="3"/>
        <v>0</v>
      </c>
      <c r="S50" s="98">
        <f t="shared" si="3"/>
        <v>0</v>
      </c>
      <c r="T50" s="98">
        <f t="shared" si="3"/>
        <v>0</v>
      </c>
      <c r="U50" s="98">
        <f t="shared" si="3"/>
        <v>0</v>
      </c>
      <c r="V50" s="98">
        <f t="shared" si="3"/>
        <v>0</v>
      </c>
      <c r="W50" s="98">
        <f t="shared" si="3"/>
        <v>0</v>
      </c>
      <c r="X50" s="98">
        <f t="shared" si="3"/>
        <v>0</v>
      </c>
      <c r="Y50" s="98">
        <f t="shared" si="3"/>
        <v>0</v>
      </c>
      <c r="Z50" s="98">
        <f t="shared" si="3"/>
        <v>0</v>
      </c>
      <c r="AA50" s="98">
        <f t="shared" si="3"/>
        <v>0</v>
      </c>
      <c r="AB50" s="98">
        <f t="shared" si="3"/>
        <v>0</v>
      </c>
    </row>
    <row r="51" spans="1:28" x14ac:dyDescent="0.2">
      <c r="A51" s="99">
        <f>'DESIGN CRIT'!A65</f>
        <v>17</v>
      </c>
      <c r="B51" s="223" t="str">
        <f>IF($A51&lt;=np,'DESIGN CRIT'!B65,"")</f>
        <v/>
      </c>
      <c r="C51" s="223" t="str">
        <f>IF($A51&lt;=np,'DESIGN CRIT'!C65,"")</f>
        <v/>
      </c>
      <c r="D51" s="98">
        <f t="shared" si="2"/>
        <v>0</v>
      </c>
      <c r="E51" s="98">
        <f t="shared" si="2"/>
        <v>0</v>
      </c>
      <c r="F51" s="98">
        <f t="shared" si="2"/>
        <v>0</v>
      </c>
      <c r="G51" s="98">
        <f t="shared" si="2"/>
        <v>0</v>
      </c>
      <c r="H51" s="98">
        <f t="shared" si="2"/>
        <v>0</v>
      </c>
      <c r="I51" s="98">
        <f t="shared" si="2"/>
        <v>0</v>
      </c>
      <c r="J51" s="98">
        <f t="shared" si="2"/>
        <v>0</v>
      </c>
      <c r="K51" s="98">
        <f t="shared" si="2"/>
        <v>0</v>
      </c>
      <c r="L51" s="98">
        <f t="shared" si="2"/>
        <v>0</v>
      </c>
      <c r="M51" s="98">
        <f t="shared" si="2"/>
        <v>0</v>
      </c>
      <c r="N51" s="98">
        <f t="shared" si="3"/>
        <v>0</v>
      </c>
      <c r="O51" s="98">
        <f t="shared" si="3"/>
        <v>0</v>
      </c>
      <c r="P51" s="98">
        <f t="shared" si="3"/>
        <v>0</v>
      </c>
      <c r="Q51" s="98">
        <f t="shared" si="3"/>
        <v>0</v>
      </c>
      <c r="R51" s="98">
        <f t="shared" si="3"/>
        <v>0</v>
      </c>
      <c r="S51" s="98">
        <f t="shared" si="3"/>
        <v>0</v>
      </c>
      <c r="T51" s="98">
        <f t="shared" si="3"/>
        <v>0</v>
      </c>
      <c r="U51" s="98">
        <f t="shared" si="3"/>
        <v>0</v>
      </c>
      <c r="V51" s="98">
        <f t="shared" si="3"/>
        <v>0</v>
      </c>
      <c r="W51" s="98">
        <f t="shared" si="3"/>
        <v>0</v>
      </c>
      <c r="X51" s="98">
        <f t="shared" si="3"/>
        <v>0</v>
      </c>
      <c r="Y51" s="98">
        <f t="shared" si="3"/>
        <v>0</v>
      </c>
      <c r="Z51" s="98">
        <f t="shared" si="3"/>
        <v>0</v>
      </c>
      <c r="AA51" s="98">
        <f t="shared" si="3"/>
        <v>0</v>
      </c>
      <c r="AB51" s="98">
        <f t="shared" si="3"/>
        <v>0</v>
      </c>
    </row>
    <row r="52" spans="1:28" x14ac:dyDescent="0.2">
      <c r="A52" s="99">
        <f>'DESIGN CRIT'!A66</f>
        <v>18</v>
      </c>
      <c r="B52" s="223" t="str">
        <f>IF($A52&lt;=np,'DESIGN CRIT'!B66,"")</f>
        <v/>
      </c>
      <c r="C52" s="223" t="str">
        <f>IF($A52&lt;=np,'DESIGN CRIT'!C66,"")</f>
        <v/>
      </c>
      <c r="D52" s="98">
        <f t="shared" si="2"/>
        <v>0</v>
      </c>
      <c r="E52" s="98">
        <f t="shared" si="2"/>
        <v>0</v>
      </c>
      <c r="F52" s="98">
        <f t="shared" si="2"/>
        <v>0</v>
      </c>
      <c r="G52" s="98">
        <f t="shared" si="2"/>
        <v>0</v>
      </c>
      <c r="H52" s="98">
        <f t="shared" si="2"/>
        <v>0</v>
      </c>
      <c r="I52" s="98">
        <f t="shared" si="2"/>
        <v>0</v>
      </c>
      <c r="J52" s="98">
        <f t="shared" si="2"/>
        <v>0</v>
      </c>
      <c r="K52" s="98">
        <f t="shared" si="2"/>
        <v>0</v>
      </c>
      <c r="L52" s="98">
        <f t="shared" si="2"/>
        <v>0</v>
      </c>
      <c r="M52" s="98">
        <f t="shared" si="2"/>
        <v>0</v>
      </c>
      <c r="N52" s="98">
        <f t="shared" si="3"/>
        <v>0</v>
      </c>
      <c r="O52" s="98">
        <f t="shared" si="3"/>
        <v>0</v>
      </c>
      <c r="P52" s="98">
        <f t="shared" si="3"/>
        <v>0</v>
      </c>
      <c r="Q52" s="98">
        <f t="shared" si="3"/>
        <v>0</v>
      </c>
      <c r="R52" s="98">
        <f t="shared" si="3"/>
        <v>0</v>
      </c>
      <c r="S52" s="98">
        <f t="shared" si="3"/>
        <v>0</v>
      </c>
      <c r="T52" s="98">
        <f t="shared" si="3"/>
        <v>0</v>
      </c>
      <c r="U52" s="98">
        <f t="shared" si="3"/>
        <v>0</v>
      </c>
      <c r="V52" s="98">
        <f t="shared" si="3"/>
        <v>0</v>
      </c>
      <c r="W52" s="98">
        <f t="shared" si="3"/>
        <v>0</v>
      </c>
      <c r="X52" s="98">
        <f t="shared" si="3"/>
        <v>0</v>
      </c>
      <c r="Y52" s="98">
        <f t="shared" si="3"/>
        <v>0</v>
      </c>
      <c r="Z52" s="98">
        <f t="shared" si="3"/>
        <v>0</v>
      </c>
      <c r="AA52" s="98">
        <f t="shared" si="3"/>
        <v>0</v>
      </c>
      <c r="AB52" s="98">
        <f t="shared" si="3"/>
        <v>0</v>
      </c>
    </row>
    <row r="53" spans="1:28" x14ac:dyDescent="0.2">
      <c r="A53" s="99">
        <f>'DESIGN CRIT'!A67</f>
        <v>19</v>
      </c>
      <c r="B53" s="223" t="str">
        <f>IF($A53&lt;=np,'DESIGN CRIT'!B67,"")</f>
        <v/>
      </c>
      <c r="C53" s="223" t="str">
        <f>IF($A53&lt;=np,'DESIGN CRIT'!C67,"")</f>
        <v/>
      </c>
      <c r="D53" s="98">
        <f t="shared" si="2"/>
        <v>0</v>
      </c>
      <c r="E53" s="98">
        <f t="shared" si="2"/>
        <v>0</v>
      </c>
      <c r="F53" s="98">
        <f t="shared" si="2"/>
        <v>0</v>
      </c>
      <c r="G53" s="98">
        <f t="shared" si="2"/>
        <v>0</v>
      </c>
      <c r="H53" s="98">
        <f t="shared" si="2"/>
        <v>0</v>
      </c>
      <c r="I53" s="98">
        <f t="shared" si="2"/>
        <v>0</v>
      </c>
      <c r="J53" s="98">
        <f t="shared" si="2"/>
        <v>0</v>
      </c>
      <c r="K53" s="98">
        <f t="shared" si="2"/>
        <v>0</v>
      </c>
      <c r="L53" s="98">
        <f t="shared" si="2"/>
        <v>0</v>
      </c>
      <c r="M53" s="98">
        <f t="shared" si="2"/>
        <v>0</v>
      </c>
      <c r="N53" s="98">
        <f t="shared" si="3"/>
        <v>0</v>
      </c>
      <c r="O53" s="98">
        <f t="shared" si="3"/>
        <v>0</v>
      </c>
      <c r="P53" s="98">
        <f t="shared" si="3"/>
        <v>0</v>
      </c>
      <c r="Q53" s="98">
        <f t="shared" si="3"/>
        <v>0</v>
      </c>
      <c r="R53" s="98">
        <f t="shared" si="3"/>
        <v>0</v>
      </c>
      <c r="S53" s="98">
        <f t="shared" si="3"/>
        <v>0</v>
      </c>
      <c r="T53" s="98">
        <f t="shared" si="3"/>
        <v>0</v>
      </c>
      <c r="U53" s="98">
        <f t="shared" si="3"/>
        <v>0</v>
      </c>
      <c r="V53" s="98">
        <f t="shared" si="3"/>
        <v>0</v>
      </c>
      <c r="W53" s="98">
        <f t="shared" si="3"/>
        <v>0</v>
      </c>
      <c r="X53" s="98">
        <f t="shared" si="3"/>
        <v>0</v>
      </c>
      <c r="Y53" s="98">
        <f t="shared" si="3"/>
        <v>0</v>
      </c>
      <c r="Z53" s="98">
        <f t="shared" si="3"/>
        <v>0</v>
      </c>
      <c r="AA53" s="98">
        <f t="shared" si="3"/>
        <v>0</v>
      </c>
      <c r="AB53" s="98">
        <f t="shared" si="3"/>
        <v>0</v>
      </c>
    </row>
    <row r="54" spans="1:28" x14ac:dyDescent="0.2">
      <c r="A54" s="99">
        <f>'DESIGN CRIT'!A68</f>
        <v>20</v>
      </c>
      <c r="B54" s="223" t="str">
        <f>IF($A54&lt;=np,'DESIGN CRIT'!B68,"")</f>
        <v/>
      </c>
      <c r="C54" s="223" t="str">
        <f>IF($A54&lt;=np,'DESIGN CRIT'!C68,"")</f>
        <v/>
      </c>
      <c r="D54" s="98">
        <f t="shared" si="2"/>
        <v>0</v>
      </c>
      <c r="E54" s="98">
        <f t="shared" si="2"/>
        <v>0</v>
      </c>
      <c r="F54" s="98">
        <f t="shared" si="2"/>
        <v>0</v>
      </c>
      <c r="G54" s="98">
        <f t="shared" si="2"/>
        <v>0</v>
      </c>
      <c r="H54" s="98">
        <f t="shared" si="2"/>
        <v>0</v>
      </c>
      <c r="I54" s="98">
        <f t="shared" si="2"/>
        <v>0</v>
      </c>
      <c r="J54" s="98">
        <f t="shared" si="2"/>
        <v>0</v>
      </c>
      <c r="K54" s="98">
        <f t="shared" si="2"/>
        <v>0</v>
      </c>
      <c r="L54" s="98">
        <f t="shared" si="2"/>
        <v>0</v>
      </c>
      <c r="M54" s="98">
        <f t="shared" si="2"/>
        <v>0</v>
      </c>
      <c r="N54" s="98">
        <f t="shared" si="3"/>
        <v>0</v>
      </c>
      <c r="O54" s="98">
        <f t="shared" si="3"/>
        <v>0</v>
      </c>
      <c r="P54" s="98">
        <f t="shared" si="3"/>
        <v>0</v>
      </c>
      <c r="Q54" s="98">
        <f t="shared" si="3"/>
        <v>0</v>
      </c>
      <c r="R54" s="98">
        <f t="shared" si="3"/>
        <v>0</v>
      </c>
      <c r="S54" s="98">
        <f t="shared" si="3"/>
        <v>0</v>
      </c>
      <c r="T54" s="98">
        <f t="shared" si="3"/>
        <v>0</v>
      </c>
      <c r="U54" s="98">
        <f t="shared" si="3"/>
        <v>0</v>
      </c>
      <c r="V54" s="98">
        <f t="shared" si="3"/>
        <v>0</v>
      </c>
      <c r="W54" s="98">
        <f t="shared" si="3"/>
        <v>0</v>
      </c>
      <c r="X54" s="98">
        <f t="shared" si="3"/>
        <v>0</v>
      </c>
      <c r="Y54" s="98">
        <f t="shared" si="3"/>
        <v>0</v>
      </c>
      <c r="Z54" s="98">
        <f t="shared" si="3"/>
        <v>0</v>
      </c>
      <c r="AA54" s="98">
        <f t="shared" si="3"/>
        <v>0</v>
      </c>
      <c r="AB54" s="98">
        <f t="shared" si="3"/>
        <v>0</v>
      </c>
    </row>
    <row r="55" spans="1:28" x14ac:dyDescent="0.2">
      <c r="A55" s="99">
        <f>'DESIGN CRIT'!A69</f>
        <v>21</v>
      </c>
      <c r="B55" s="223" t="str">
        <f>IF($A55&lt;=np,'DESIGN CRIT'!B69,"")</f>
        <v/>
      </c>
      <c r="C55" s="223" t="str">
        <f>IF($A55&lt;=np,'DESIGN CRIT'!C69,"")</f>
        <v/>
      </c>
      <c r="D55" s="98">
        <f t="shared" si="2"/>
        <v>0</v>
      </c>
      <c r="E55" s="98">
        <f t="shared" si="2"/>
        <v>0</v>
      </c>
      <c r="F55" s="98">
        <f t="shared" si="2"/>
        <v>0</v>
      </c>
      <c r="G55" s="98">
        <f t="shared" si="2"/>
        <v>0</v>
      </c>
      <c r="H55" s="98">
        <f t="shared" si="2"/>
        <v>0</v>
      </c>
      <c r="I55" s="98">
        <f t="shared" si="2"/>
        <v>0</v>
      </c>
      <c r="J55" s="98">
        <f t="shared" si="2"/>
        <v>0</v>
      </c>
      <c r="K55" s="98">
        <f t="shared" si="2"/>
        <v>0</v>
      </c>
      <c r="L55" s="98">
        <f t="shared" si="2"/>
        <v>0</v>
      </c>
      <c r="M55" s="98">
        <f t="shared" si="2"/>
        <v>0</v>
      </c>
      <c r="N55" s="98">
        <f t="shared" si="3"/>
        <v>0</v>
      </c>
      <c r="O55" s="98">
        <f t="shared" si="3"/>
        <v>0</v>
      </c>
      <c r="P55" s="98">
        <f t="shared" si="3"/>
        <v>0</v>
      </c>
      <c r="Q55" s="98">
        <f t="shared" si="3"/>
        <v>0</v>
      </c>
      <c r="R55" s="98">
        <f t="shared" si="3"/>
        <v>0</v>
      </c>
      <c r="S55" s="98">
        <f t="shared" si="3"/>
        <v>0</v>
      </c>
      <c r="T55" s="98">
        <f t="shared" si="3"/>
        <v>0</v>
      </c>
      <c r="U55" s="98">
        <f t="shared" si="3"/>
        <v>0</v>
      </c>
      <c r="V55" s="98">
        <f t="shared" si="3"/>
        <v>0</v>
      </c>
      <c r="W55" s="98">
        <f t="shared" si="3"/>
        <v>0</v>
      </c>
      <c r="X55" s="98">
        <f t="shared" si="3"/>
        <v>0</v>
      </c>
      <c r="Y55" s="98">
        <f t="shared" si="3"/>
        <v>0</v>
      </c>
      <c r="Z55" s="98">
        <f t="shared" si="3"/>
        <v>0</v>
      </c>
      <c r="AA55" s="98">
        <f t="shared" si="3"/>
        <v>0</v>
      </c>
      <c r="AB55" s="98">
        <f t="shared" si="3"/>
        <v>0</v>
      </c>
    </row>
    <row r="56" spans="1:28" x14ac:dyDescent="0.2">
      <c r="A56" s="99">
        <f>'DESIGN CRIT'!A70</f>
        <v>22</v>
      </c>
      <c r="B56" s="223" t="str">
        <f>IF($A56&lt;=np,'DESIGN CRIT'!B70,"")</f>
        <v/>
      </c>
      <c r="C56" s="223" t="str">
        <f>IF($A56&lt;=np,'DESIGN CRIT'!C70,"")</f>
        <v/>
      </c>
      <c r="D56" s="98">
        <f t="shared" si="2"/>
        <v>0</v>
      </c>
      <c r="E56" s="98">
        <f t="shared" si="2"/>
        <v>0</v>
      </c>
      <c r="F56" s="98">
        <f t="shared" si="2"/>
        <v>0</v>
      </c>
      <c r="G56" s="98">
        <f t="shared" si="2"/>
        <v>0</v>
      </c>
      <c r="H56" s="98">
        <f t="shared" si="2"/>
        <v>0</v>
      </c>
      <c r="I56" s="98">
        <f t="shared" si="2"/>
        <v>0</v>
      </c>
      <c r="J56" s="98">
        <f t="shared" si="2"/>
        <v>0</v>
      </c>
      <c r="K56" s="98">
        <f t="shared" si="2"/>
        <v>0</v>
      </c>
      <c r="L56" s="98">
        <f t="shared" si="2"/>
        <v>0</v>
      </c>
      <c r="M56" s="98">
        <f t="shared" si="2"/>
        <v>0</v>
      </c>
      <c r="N56" s="98">
        <f t="shared" si="3"/>
        <v>0</v>
      </c>
      <c r="O56" s="98">
        <f t="shared" si="3"/>
        <v>0</v>
      </c>
      <c r="P56" s="98">
        <f t="shared" si="3"/>
        <v>0</v>
      </c>
      <c r="Q56" s="98">
        <f t="shared" si="3"/>
        <v>0</v>
      </c>
      <c r="R56" s="98">
        <f t="shared" si="3"/>
        <v>0</v>
      </c>
      <c r="S56" s="98">
        <f t="shared" si="3"/>
        <v>0</v>
      </c>
      <c r="T56" s="98">
        <f t="shared" si="3"/>
        <v>0</v>
      </c>
      <c r="U56" s="98">
        <f t="shared" si="3"/>
        <v>0</v>
      </c>
      <c r="V56" s="98">
        <f t="shared" si="3"/>
        <v>0</v>
      </c>
      <c r="W56" s="98">
        <f t="shared" si="3"/>
        <v>0</v>
      </c>
      <c r="X56" s="98">
        <f t="shared" si="3"/>
        <v>0</v>
      </c>
      <c r="Y56" s="98">
        <f t="shared" si="3"/>
        <v>0</v>
      </c>
      <c r="Z56" s="98">
        <f t="shared" si="3"/>
        <v>0</v>
      </c>
      <c r="AA56" s="98">
        <f t="shared" si="3"/>
        <v>0</v>
      </c>
      <c r="AB56" s="98">
        <f t="shared" si="3"/>
        <v>0</v>
      </c>
    </row>
    <row r="57" spans="1:28" x14ac:dyDescent="0.2">
      <c r="A57" s="99">
        <f>'DESIGN CRIT'!A71</f>
        <v>23</v>
      </c>
      <c r="B57" s="223" t="str">
        <f>IF($A57&lt;=np,'DESIGN CRIT'!B71,"")</f>
        <v/>
      </c>
      <c r="C57" s="223" t="str">
        <f>IF($A57&lt;=np,'DESIGN CRIT'!C71,"")</f>
        <v/>
      </c>
      <c r="D57" s="98">
        <f t="shared" si="2"/>
        <v>0</v>
      </c>
      <c r="E57" s="98">
        <f t="shared" si="2"/>
        <v>0</v>
      </c>
      <c r="F57" s="98">
        <f t="shared" si="2"/>
        <v>0</v>
      </c>
      <c r="G57" s="98">
        <f t="shared" si="2"/>
        <v>0</v>
      </c>
      <c r="H57" s="98">
        <f t="shared" si="2"/>
        <v>0</v>
      </c>
      <c r="I57" s="98">
        <f t="shared" si="2"/>
        <v>0</v>
      </c>
      <c r="J57" s="98">
        <f t="shared" si="2"/>
        <v>0</v>
      </c>
      <c r="K57" s="98">
        <f t="shared" si="2"/>
        <v>0</v>
      </c>
      <c r="L57" s="98">
        <f t="shared" si="2"/>
        <v>0</v>
      </c>
      <c r="M57" s="98">
        <f t="shared" si="2"/>
        <v>0</v>
      </c>
      <c r="N57" s="98">
        <f t="shared" si="3"/>
        <v>0</v>
      </c>
      <c r="O57" s="98">
        <f t="shared" si="3"/>
        <v>0</v>
      </c>
      <c r="P57" s="98">
        <f t="shared" si="3"/>
        <v>0</v>
      </c>
      <c r="Q57" s="98">
        <f t="shared" si="3"/>
        <v>0</v>
      </c>
      <c r="R57" s="98">
        <f t="shared" si="3"/>
        <v>0</v>
      </c>
      <c r="S57" s="98">
        <f t="shared" si="3"/>
        <v>0</v>
      </c>
      <c r="T57" s="98">
        <f t="shared" si="3"/>
        <v>0</v>
      </c>
      <c r="U57" s="98">
        <f t="shared" si="3"/>
        <v>0</v>
      </c>
      <c r="V57" s="98">
        <f t="shared" si="3"/>
        <v>0</v>
      </c>
      <c r="W57" s="98">
        <f t="shared" si="3"/>
        <v>0</v>
      </c>
      <c r="X57" s="98">
        <f t="shared" si="3"/>
        <v>0</v>
      </c>
      <c r="Y57" s="98">
        <f t="shared" si="3"/>
        <v>0</v>
      </c>
      <c r="Z57" s="98">
        <f t="shared" si="3"/>
        <v>0</v>
      </c>
      <c r="AA57" s="98">
        <f t="shared" si="3"/>
        <v>0</v>
      </c>
      <c r="AB57" s="98">
        <f t="shared" si="3"/>
        <v>0</v>
      </c>
    </row>
    <row r="58" spans="1:28" x14ac:dyDescent="0.2">
      <c r="A58" s="99">
        <f>'DESIGN CRIT'!A72</f>
        <v>24</v>
      </c>
      <c r="B58" s="223" t="str">
        <f>IF($A58&lt;=np,'DESIGN CRIT'!B72,"")</f>
        <v/>
      </c>
      <c r="C58" s="223" t="str">
        <f>IF($A58&lt;=np,'DESIGN CRIT'!C72,"")</f>
        <v/>
      </c>
      <c r="D58" s="98">
        <f t="shared" si="2"/>
        <v>0</v>
      </c>
      <c r="E58" s="98">
        <f t="shared" si="2"/>
        <v>0</v>
      </c>
      <c r="F58" s="98">
        <f t="shared" si="2"/>
        <v>0</v>
      </c>
      <c r="G58" s="98">
        <f t="shared" si="2"/>
        <v>0</v>
      </c>
      <c r="H58" s="98">
        <f t="shared" si="2"/>
        <v>0</v>
      </c>
      <c r="I58" s="98">
        <f t="shared" si="2"/>
        <v>0</v>
      </c>
      <c r="J58" s="98">
        <f t="shared" si="2"/>
        <v>0</v>
      </c>
      <c r="K58" s="98">
        <f t="shared" si="2"/>
        <v>0</v>
      </c>
      <c r="L58" s="98">
        <f t="shared" si="2"/>
        <v>0</v>
      </c>
      <c r="M58" s="98">
        <f t="shared" si="2"/>
        <v>0</v>
      </c>
      <c r="N58" s="98">
        <f t="shared" si="3"/>
        <v>0</v>
      </c>
      <c r="O58" s="98">
        <f t="shared" si="3"/>
        <v>0</v>
      </c>
      <c r="P58" s="98">
        <f t="shared" si="3"/>
        <v>0</v>
      </c>
      <c r="Q58" s="98">
        <f t="shared" si="3"/>
        <v>0</v>
      </c>
      <c r="R58" s="98">
        <f t="shared" si="3"/>
        <v>0</v>
      </c>
      <c r="S58" s="98">
        <f t="shared" si="3"/>
        <v>0</v>
      </c>
      <c r="T58" s="98">
        <f t="shared" si="3"/>
        <v>0</v>
      </c>
      <c r="U58" s="98">
        <f t="shared" si="3"/>
        <v>0</v>
      </c>
      <c r="V58" s="98">
        <f t="shared" si="3"/>
        <v>0</v>
      </c>
      <c r="W58" s="98">
        <f t="shared" si="3"/>
        <v>0</v>
      </c>
      <c r="X58" s="98">
        <f t="shared" si="3"/>
        <v>0</v>
      </c>
      <c r="Y58" s="98">
        <f t="shared" si="3"/>
        <v>0</v>
      </c>
      <c r="Z58" s="98">
        <f t="shared" si="3"/>
        <v>0</v>
      </c>
      <c r="AA58" s="98">
        <f t="shared" si="3"/>
        <v>0</v>
      </c>
      <c r="AB58" s="98">
        <f t="shared" si="3"/>
        <v>0</v>
      </c>
    </row>
    <row r="59" spans="1:28" x14ac:dyDescent="0.2">
      <c r="A59" s="99">
        <f>'DESIGN CRIT'!A73</f>
        <v>25</v>
      </c>
      <c r="B59" s="223" t="str">
        <f>IF($A59&lt;=np,'DESIGN CRIT'!B73,"")</f>
        <v/>
      </c>
      <c r="C59" s="223" t="str">
        <f>IF($A59&lt;=np,'DESIGN CRIT'!C73,"")</f>
        <v/>
      </c>
      <c r="D59" s="98">
        <f t="shared" si="2"/>
        <v>0</v>
      </c>
      <c r="E59" s="98">
        <f t="shared" si="2"/>
        <v>0</v>
      </c>
      <c r="F59" s="98">
        <f t="shared" si="2"/>
        <v>0</v>
      </c>
      <c r="G59" s="98">
        <f t="shared" si="2"/>
        <v>0</v>
      </c>
      <c r="H59" s="98">
        <f t="shared" si="2"/>
        <v>0</v>
      </c>
      <c r="I59" s="98">
        <f t="shared" si="2"/>
        <v>0</v>
      </c>
      <c r="J59" s="98">
        <f t="shared" si="2"/>
        <v>0</v>
      </c>
      <c r="K59" s="98">
        <f t="shared" si="2"/>
        <v>0</v>
      </c>
      <c r="L59" s="98">
        <f t="shared" si="2"/>
        <v>0</v>
      </c>
      <c r="M59" s="98">
        <f t="shared" si="2"/>
        <v>0</v>
      </c>
      <c r="N59" s="98">
        <f t="shared" si="3"/>
        <v>0</v>
      </c>
      <c r="O59" s="98">
        <f t="shared" si="3"/>
        <v>0</v>
      </c>
      <c r="P59" s="98">
        <f t="shared" si="3"/>
        <v>0</v>
      </c>
      <c r="Q59" s="98">
        <f t="shared" si="3"/>
        <v>0</v>
      </c>
      <c r="R59" s="98">
        <f t="shared" si="3"/>
        <v>0</v>
      </c>
      <c r="S59" s="98">
        <f t="shared" si="3"/>
        <v>0</v>
      </c>
      <c r="T59" s="98">
        <f t="shared" si="3"/>
        <v>0</v>
      </c>
      <c r="U59" s="98">
        <f t="shared" si="3"/>
        <v>0</v>
      </c>
      <c r="V59" s="98">
        <f t="shared" si="3"/>
        <v>0</v>
      </c>
      <c r="W59" s="98">
        <f t="shared" si="3"/>
        <v>0</v>
      </c>
      <c r="X59" s="98">
        <f t="shared" si="3"/>
        <v>0</v>
      </c>
      <c r="Y59" s="98">
        <f t="shared" si="3"/>
        <v>0</v>
      </c>
      <c r="Z59" s="98">
        <f t="shared" si="3"/>
        <v>0</v>
      </c>
      <c r="AA59" s="98">
        <f t="shared" si="3"/>
        <v>0</v>
      </c>
      <c r="AB59" s="98">
        <f t="shared" si="3"/>
        <v>0</v>
      </c>
    </row>
    <row r="60" spans="1:28" x14ac:dyDescent="0.2">
      <c r="A60" s="100" t="s">
        <v>45</v>
      </c>
      <c r="B60" s="224">
        <f t="array" aca="1" ref="B60" ca="1">MIN(IF(D35:AB59&gt;0,D35:AB59))</f>
        <v>3</v>
      </c>
      <c r="C60" s="225"/>
      <c r="D60" s="101"/>
      <c r="E60" s="101"/>
      <c r="F60" s="101"/>
      <c r="G60" s="101"/>
      <c r="H60" s="101"/>
      <c r="I60" s="101"/>
      <c r="J60" s="101"/>
      <c r="K60" s="101"/>
      <c r="L60" s="101"/>
      <c r="M60" s="101"/>
      <c r="N60" s="101"/>
      <c r="O60" s="101"/>
      <c r="P60" s="101"/>
      <c r="Q60" s="101"/>
      <c r="R60" s="101"/>
      <c r="S60" s="101"/>
      <c r="T60" s="101"/>
      <c r="U60" s="101"/>
      <c r="V60" s="101"/>
      <c r="W60" s="101"/>
      <c r="X60" s="101"/>
      <c r="Y60" s="101"/>
      <c r="Z60" s="101"/>
      <c r="AA60" s="101"/>
      <c r="AB60" s="101"/>
    </row>
    <row r="61" spans="1:28" x14ac:dyDescent="0.2">
      <c r="I61" s="102"/>
      <c r="J61" s="102"/>
      <c r="K61" s="102"/>
      <c r="V61" s="87"/>
    </row>
    <row r="62" spans="1:28" x14ac:dyDescent="0.2">
      <c r="I62" s="102"/>
      <c r="J62" s="102"/>
      <c r="K62" s="102"/>
      <c r="V62" s="87"/>
    </row>
    <row r="63" spans="1:28" x14ac:dyDescent="0.2">
      <c r="I63" s="102"/>
      <c r="J63" s="102"/>
      <c r="K63" s="102"/>
      <c r="V63" s="87"/>
    </row>
    <row r="64" spans="1:28" x14ac:dyDescent="0.2">
      <c r="A64" s="86" t="s">
        <v>7</v>
      </c>
      <c r="B64" s="226"/>
      <c r="C64" s="226"/>
      <c r="D64" s="85"/>
      <c r="E64" s="92"/>
      <c r="F64" s="103" t="s">
        <v>49</v>
      </c>
      <c r="G64" s="88"/>
      <c r="H64" s="88"/>
      <c r="I64" s="102"/>
      <c r="J64" s="86" t="s">
        <v>145</v>
      </c>
      <c r="K64" s="104"/>
      <c r="L64" s="105"/>
      <c r="V64" s="87"/>
    </row>
    <row r="65" spans="1:22" x14ac:dyDescent="0.2">
      <c r="A65" s="12" t="s">
        <v>42</v>
      </c>
      <c r="B65" s="85">
        <f ca="1">SUM($B$35:$B$59)</f>
        <v>0</v>
      </c>
      <c r="E65" s="102"/>
      <c r="F65" s="88"/>
      <c r="G65" s="88" t="s">
        <v>47</v>
      </c>
      <c r="H65" s="88" t="s">
        <v>48</v>
      </c>
      <c r="I65" s="102"/>
      <c r="J65" s="88"/>
      <c r="K65" s="88" t="s">
        <v>47</v>
      </c>
      <c r="L65" s="88" t="s">
        <v>48</v>
      </c>
      <c r="V65" s="87"/>
    </row>
    <row r="66" spans="1:22" x14ac:dyDescent="0.2">
      <c r="A66" s="12" t="s">
        <v>43</v>
      </c>
      <c r="B66" s="85">
        <f ca="1">SUM($C$35:$C$59)</f>
        <v>0</v>
      </c>
      <c r="E66" s="93"/>
      <c r="F66" s="88">
        <v>1</v>
      </c>
      <c r="G66" s="88">
        <f ca="1">MIN(B35:B59)-e/12</f>
        <v>-5.75</v>
      </c>
      <c r="H66" s="88">
        <f ca="1">MIN(C35:C59)-e/12</f>
        <v>-4.25</v>
      </c>
      <c r="I66" s="102"/>
      <c r="J66" s="88">
        <v>1</v>
      </c>
      <c r="K66" s="88">
        <f ca="1">-$G$72/2</f>
        <v>-6.3250000000000002</v>
      </c>
      <c r="L66" s="88">
        <f ca="1">-$G$72/2</f>
        <v>-6.3250000000000002</v>
      </c>
      <c r="V66" s="87"/>
    </row>
    <row r="67" spans="1:22" x14ac:dyDescent="0.2">
      <c r="A67" s="12" t="s">
        <v>1</v>
      </c>
      <c r="B67" s="85">
        <f ca="1">$B$65/'DESIGN CRIT'!$F$45</f>
        <v>0</v>
      </c>
      <c r="C67" s="225" t="s">
        <v>21</v>
      </c>
      <c r="E67" s="93"/>
      <c r="F67" s="88">
        <v>2</v>
      </c>
      <c r="G67" s="88">
        <f ca="1">G66</f>
        <v>-5.75</v>
      </c>
      <c r="H67" s="88">
        <f ca="1">MAX(C35:C59)+e/12</f>
        <v>4.25</v>
      </c>
      <c r="I67" s="102"/>
      <c r="J67" s="88">
        <v>2</v>
      </c>
      <c r="K67" s="88">
        <f ca="1">-$G$72/2</f>
        <v>-6.3250000000000002</v>
      </c>
      <c r="L67" s="88">
        <f ca="1">$G$72/2</f>
        <v>6.3250000000000002</v>
      </c>
      <c r="V67" s="87"/>
    </row>
    <row r="68" spans="1:22" x14ac:dyDescent="0.2">
      <c r="A68" s="12" t="s">
        <v>2</v>
      </c>
      <c r="B68" s="85">
        <f ca="1">$B$66/'DESIGN CRIT'!$F$45</f>
        <v>0</v>
      </c>
      <c r="C68" s="225" t="s">
        <v>21</v>
      </c>
      <c r="E68" s="88"/>
      <c r="F68" s="88">
        <v>3</v>
      </c>
      <c r="G68" s="88">
        <f ca="1">MAX(B35:B59)+e/12</f>
        <v>5.75</v>
      </c>
      <c r="H68" s="88">
        <f ca="1">H67</f>
        <v>4.25</v>
      </c>
      <c r="I68" s="102"/>
      <c r="J68" s="88">
        <v>3</v>
      </c>
      <c r="K68" s="88">
        <f ca="1">$G$72/2</f>
        <v>6.3250000000000002</v>
      </c>
      <c r="L68" s="88">
        <f ca="1">L67</f>
        <v>6.3250000000000002</v>
      </c>
      <c r="V68" s="87"/>
    </row>
    <row r="69" spans="1:22" x14ac:dyDescent="0.2">
      <c r="A69" s="106" t="s">
        <v>14</v>
      </c>
      <c r="B69" s="85">
        <f ca="1">SUM($D$5:$D$29)</f>
        <v>71.999994000000996</v>
      </c>
      <c r="E69" s="88"/>
      <c r="F69" s="88">
        <v>4</v>
      </c>
      <c r="G69" s="88">
        <f ca="1">G68</f>
        <v>5.75</v>
      </c>
      <c r="H69" s="88">
        <f ca="1">H66</f>
        <v>-4.25</v>
      </c>
      <c r="I69" s="102"/>
      <c r="J69" s="88">
        <v>4</v>
      </c>
      <c r="K69" s="88">
        <f ca="1">$G$72/2</f>
        <v>6.3250000000000002</v>
      </c>
      <c r="L69" s="88">
        <f ca="1">-$G$72/2</f>
        <v>-6.3250000000000002</v>
      </c>
      <c r="V69" s="87"/>
    </row>
    <row r="70" spans="1:22" x14ac:dyDescent="0.2">
      <c r="A70" s="106" t="s">
        <v>15</v>
      </c>
      <c r="B70" s="85">
        <f ca="1">SUM($E$5:$E$29)</f>
        <v>134.99999100000099</v>
      </c>
      <c r="E70" s="88"/>
      <c r="F70" s="88">
        <v>5</v>
      </c>
      <c r="G70" s="88">
        <f ca="1">G66</f>
        <v>-5.75</v>
      </c>
      <c r="H70" s="88">
        <f ca="1">H66</f>
        <v>-4.25</v>
      </c>
      <c r="I70" s="102"/>
      <c r="J70" s="88">
        <v>5</v>
      </c>
      <c r="K70" s="88">
        <f ca="1">K66</f>
        <v>-6.3250000000000002</v>
      </c>
      <c r="L70" s="88">
        <f ca="1">-$G$72/2</f>
        <v>-6.3250000000000002</v>
      </c>
      <c r="V70" s="87"/>
    </row>
    <row r="71" spans="1:22" x14ac:dyDescent="0.2">
      <c r="A71" s="106" t="s">
        <v>5</v>
      </c>
      <c r="B71" s="85">
        <f ca="1">$B$69+$B$70</f>
        <v>206.99998500000197</v>
      </c>
      <c r="E71" s="88"/>
      <c r="F71" s="88"/>
      <c r="G71" s="88">
        <f ca="1">MAX(G66:G70)-MIN(G66:G70)</f>
        <v>11.5</v>
      </c>
      <c r="H71" s="88">
        <f ca="1">MAX(H66:H70)-MIN(H66:H70)</f>
        <v>8.5</v>
      </c>
      <c r="I71" s="102"/>
      <c r="J71" s="88"/>
      <c r="K71" s="88"/>
      <c r="L71" s="88"/>
      <c r="V71" s="87"/>
    </row>
    <row r="72" spans="1:22" x14ac:dyDescent="0.2">
      <c r="A72" s="106"/>
      <c r="B72" s="85"/>
      <c r="E72" s="88"/>
      <c r="F72" s="88" t="s">
        <v>146</v>
      </c>
      <c r="G72" s="88">
        <f ca="1">MAX(G71:H71)*1.1</f>
        <v>12.65</v>
      </c>
      <c r="H72" s="88"/>
      <c r="I72" s="102"/>
      <c r="J72" s="102"/>
      <c r="K72" s="104"/>
      <c r="L72" s="105"/>
      <c r="V72" s="87"/>
    </row>
    <row r="73" spans="1:22" x14ac:dyDescent="0.2">
      <c r="A73" s="106"/>
      <c r="B73" s="85"/>
      <c r="E73" s="88"/>
      <c r="F73" s="88"/>
      <c r="G73" s="88"/>
      <c r="H73" s="88"/>
      <c r="I73" s="102"/>
      <c r="J73" s="102"/>
      <c r="K73" s="104"/>
      <c r="L73" s="105"/>
      <c r="V73" s="87"/>
    </row>
    <row r="74" spans="1:22" x14ac:dyDescent="0.2">
      <c r="A74" s="106"/>
      <c r="B74" s="85"/>
      <c r="E74" s="88"/>
      <c r="F74" s="88"/>
      <c r="G74" s="88"/>
      <c r="H74" s="88"/>
      <c r="I74" s="102"/>
      <c r="J74" s="102"/>
      <c r="K74" s="104"/>
      <c r="L74" s="105"/>
      <c r="V74" s="87"/>
    </row>
    <row r="75" spans="1:22" x14ac:dyDescent="0.2">
      <c r="A75" s="106"/>
      <c r="B75" s="85"/>
      <c r="E75" s="88"/>
      <c r="F75" s="88"/>
      <c r="G75" s="88"/>
      <c r="H75" s="88"/>
      <c r="I75" s="102"/>
      <c r="J75" s="102"/>
      <c r="K75" s="104"/>
      <c r="L75" s="105"/>
      <c r="V75" s="87"/>
    </row>
    <row r="76" spans="1:22" x14ac:dyDescent="0.2">
      <c r="A76" s="106" t="s">
        <v>16</v>
      </c>
      <c r="B76" s="85">
        <f ca="1">IF(ABS(SUM($F$5:$F$29))&lt;0.0005,0,SUM($F$5:$F$29))</f>
        <v>0</v>
      </c>
      <c r="E76" s="88"/>
      <c r="F76" s="88"/>
      <c r="G76" s="88"/>
      <c r="H76" s="88"/>
      <c r="I76" s="102"/>
      <c r="J76" s="102"/>
      <c r="K76" s="104"/>
      <c r="L76" s="105"/>
      <c r="V76" s="87"/>
    </row>
    <row r="77" spans="1:22" x14ac:dyDescent="0.2">
      <c r="A77" s="12" t="s">
        <v>44</v>
      </c>
      <c r="B77" s="85">
        <f ca="1">IF(ABS($B$69-$B$70)&lt;0.0005,IF($B$76&gt;0,-45,IF($B$76&lt;0,45,0)),DEGREES(ATAN(-2*$B$76/($B$69-$B$70))/2))</f>
        <v>0</v>
      </c>
      <c r="E77" s="88"/>
      <c r="F77" s="108" t="s">
        <v>92</v>
      </c>
      <c r="G77" s="85"/>
      <c r="H77" s="85"/>
      <c r="I77" s="102"/>
      <c r="J77" s="108" t="s">
        <v>93</v>
      </c>
      <c r="K77" s="85"/>
      <c r="L77" s="105"/>
      <c r="V77" s="87"/>
    </row>
    <row r="78" spans="1:22" x14ac:dyDescent="0.2">
      <c r="E78" s="102"/>
      <c r="F78" s="88"/>
      <c r="G78" s="88" t="s">
        <v>47</v>
      </c>
      <c r="H78" s="88" t="s">
        <v>48</v>
      </c>
      <c r="I78" s="102"/>
      <c r="J78" s="88"/>
      <c r="K78" s="88" t="s">
        <v>47</v>
      </c>
      <c r="L78" s="88" t="s">
        <v>48</v>
      </c>
      <c r="V78" s="87"/>
    </row>
    <row r="79" spans="1:22" x14ac:dyDescent="0.2">
      <c r="A79" s="109" t="s">
        <v>26</v>
      </c>
      <c r="B79" s="227" t="s">
        <v>27</v>
      </c>
      <c r="C79" s="227" t="s">
        <v>28</v>
      </c>
      <c r="E79" s="92"/>
      <c r="F79" s="88">
        <v>1</v>
      </c>
      <c r="G79" s="88">
        <f>'DESIGN CRIT'!B43-'DESIGN CRIT'!E30/2/12-'DESIGN CRIT'!E151/2/12</f>
        <v>-2.9166666666666665</v>
      </c>
      <c r="H79" s="88">
        <f>'DESIGN CRIT'!C43-'DESIGN CRIT'!E30/2/12-'DESIGN CRIT'!E151/2/12</f>
        <v>-2.9166666666666665</v>
      </c>
      <c r="I79" s="102"/>
      <c r="J79" s="88">
        <v>1</v>
      </c>
      <c r="K79" s="88">
        <f>'DESIGN CRIT'!B43+'DESIGN CRIT'!E30/2/12+'DESIGN CRIT'!E151/12</f>
        <v>4.916666666666667</v>
      </c>
      <c r="L79" s="88">
        <f ca="1">MIN(C35:C59)-e/12</f>
        <v>-4.25</v>
      </c>
      <c r="V79" s="87"/>
    </row>
    <row r="80" spans="1:22" x14ac:dyDescent="0.2">
      <c r="A80" s="107" t="s">
        <v>91</v>
      </c>
      <c r="B80" s="85">
        <v>0.11</v>
      </c>
      <c r="C80" s="85">
        <v>0.375</v>
      </c>
      <c r="E80" s="12"/>
      <c r="F80" s="88">
        <v>2</v>
      </c>
      <c r="G80" s="88">
        <f>G79</f>
        <v>-2.9166666666666665</v>
      </c>
      <c r="H80" s="88">
        <f>'DESIGN CRIT'!C43+'DESIGN CRIT'!E30/2/12+'DESIGN CRIT'!E151/2/12</f>
        <v>2.9166666666666665</v>
      </c>
      <c r="I80" s="102"/>
      <c r="J80" s="88">
        <v>2</v>
      </c>
      <c r="K80" s="88">
        <f>K79</f>
        <v>4.916666666666667</v>
      </c>
      <c r="L80" s="88">
        <f ca="1">MAX(C35:C59)+e/12</f>
        <v>4.25</v>
      </c>
      <c r="V80" s="87"/>
    </row>
    <row r="81" spans="1:22" x14ac:dyDescent="0.2">
      <c r="A81" s="107" t="s">
        <v>29</v>
      </c>
      <c r="B81" s="85">
        <v>0.2</v>
      </c>
      <c r="C81" s="85">
        <v>0.5</v>
      </c>
      <c r="E81" s="12"/>
      <c r="F81" s="88">
        <v>3</v>
      </c>
      <c r="G81" s="88">
        <f>'DESIGN CRIT'!B43+'DESIGN CRIT'!E30/2/12+'DESIGN CRIT'!E151/2/12</f>
        <v>2.9166666666666665</v>
      </c>
      <c r="H81" s="88">
        <f>H80</f>
        <v>2.9166666666666665</v>
      </c>
      <c r="I81" s="102"/>
      <c r="J81" s="88"/>
      <c r="K81" s="88"/>
      <c r="L81" s="88"/>
      <c r="V81" s="87"/>
    </row>
    <row r="82" spans="1:22" x14ac:dyDescent="0.2">
      <c r="A82" s="107" t="s">
        <v>30</v>
      </c>
      <c r="B82" s="85">
        <v>0.31</v>
      </c>
      <c r="C82" s="85">
        <v>0.625</v>
      </c>
      <c r="E82" s="12"/>
      <c r="F82" s="88">
        <v>4</v>
      </c>
      <c r="G82" s="88">
        <f>G81</f>
        <v>2.9166666666666665</v>
      </c>
      <c r="H82" s="88">
        <f>H79</f>
        <v>-2.9166666666666665</v>
      </c>
      <c r="I82" s="102"/>
      <c r="J82" s="88"/>
      <c r="K82" s="88"/>
      <c r="L82" s="88"/>
      <c r="V82" s="87"/>
    </row>
    <row r="83" spans="1:22" x14ac:dyDescent="0.2">
      <c r="A83" s="107" t="s">
        <v>31</v>
      </c>
      <c r="B83" s="85">
        <v>0.44</v>
      </c>
      <c r="C83" s="85">
        <v>0.75</v>
      </c>
      <c r="E83" s="12"/>
      <c r="F83" s="88">
        <v>5</v>
      </c>
      <c r="G83" s="88">
        <f>G79</f>
        <v>-2.9166666666666665</v>
      </c>
      <c r="H83" s="88">
        <f>H79</f>
        <v>-2.9166666666666665</v>
      </c>
      <c r="I83" s="102"/>
      <c r="J83" s="108" t="s">
        <v>94</v>
      </c>
      <c r="K83" s="85"/>
      <c r="L83" s="105"/>
      <c r="V83" s="87"/>
    </row>
    <row r="84" spans="1:22" x14ac:dyDescent="0.2">
      <c r="A84" s="107" t="s">
        <v>32</v>
      </c>
      <c r="B84" s="85">
        <v>0.6</v>
      </c>
      <c r="C84" s="85">
        <v>0.875</v>
      </c>
      <c r="E84" s="12"/>
      <c r="F84" s="88"/>
      <c r="G84" s="88">
        <f>MAX(G79:G83)-MIN(G79:G83)</f>
        <v>5.833333333333333</v>
      </c>
      <c r="H84" s="88">
        <f>MAX(H79:H83)-MIN(H79:H83)</f>
        <v>5.833333333333333</v>
      </c>
      <c r="I84" s="102"/>
      <c r="J84" s="88"/>
      <c r="K84" s="88" t="s">
        <v>47</v>
      </c>
      <c r="L84" s="88" t="s">
        <v>48</v>
      </c>
      <c r="V84" s="87"/>
    </row>
    <row r="85" spans="1:22" x14ac:dyDescent="0.2">
      <c r="A85" s="107" t="s">
        <v>33</v>
      </c>
      <c r="B85" s="85">
        <v>0.79</v>
      </c>
      <c r="C85" s="85">
        <v>1</v>
      </c>
      <c r="E85" s="12"/>
      <c r="F85" s="85"/>
      <c r="G85" s="102"/>
      <c r="H85" s="102"/>
      <c r="I85" s="102"/>
      <c r="J85" s="88">
        <v>1</v>
      </c>
      <c r="K85" s="88">
        <f ca="1">MIN(B35:B59)-e/12</f>
        <v>-5.75</v>
      </c>
      <c r="L85" s="88">
        <f>'DESIGN CRIT'!C43+'DESIGN CRIT'!E30/2/12+'DESIGN CRIT'!E151/12</f>
        <v>4.916666666666667</v>
      </c>
      <c r="V85" s="87"/>
    </row>
    <row r="86" spans="1:22" x14ac:dyDescent="0.2">
      <c r="A86" s="107" t="s">
        <v>34</v>
      </c>
      <c r="B86" s="85">
        <v>1</v>
      </c>
      <c r="C86" s="85">
        <v>1.1279999999999999</v>
      </c>
      <c r="E86" s="12"/>
      <c r="F86" s="103" t="s">
        <v>97</v>
      </c>
      <c r="G86" s="88"/>
      <c r="H86" s="88"/>
      <c r="I86" s="102"/>
      <c r="J86" s="88">
        <v>2</v>
      </c>
      <c r="K86" s="88">
        <f ca="1">MAX(B35:B59)+e/12</f>
        <v>5.75</v>
      </c>
      <c r="L86" s="88">
        <f>L85</f>
        <v>4.916666666666667</v>
      </c>
      <c r="V86" s="87"/>
    </row>
    <row r="87" spans="1:22" x14ac:dyDescent="0.2">
      <c r="A87" s="107" t="s">
        <v>35</v>
      </c>
      <c r="B87" s="85">
        <v>1.27</v>
      </c>
      <c r="C87" s="85">
        <v>1.27</v>
      </c>
      <c r="E87" s="12"/>
      <c r="F87" s="88"/>
      <c r="G87" s="88" t="s">
        <v>47</v>
      </c>
      <c r="H87" s="88" t="s">
        <v>48</v>
      </c>
      <c r="I87" s="102"/>
      <c r="J87" s="88"/>
      <c r="K87" s="88"/>
      <c r="L87" s="88"/>
      <c r="V87" s="87"/>
    </row>
    <row r="88" spans="1:22" x14ac:dyDescent="0.2">
      <c r="A88" s="107" t="s">
        <v>36</v>
      </c>
      <c r="B88" s="85">
        <v>1.56</v>
      </c>
      <c r="C88" s="85">
        <v>1.41</v>
      </c>
      <c r="F88" s="88">
        <v>1</v>
      </c>
      <c r="G88" s="88">
        <f>-('DESIGN CRIT'!B43+'DESIGN CRIT'!E30/2/12)</f>
        <v>-0.91666666666666663</v>
      </c>
      <c r="H88" s="88">
        <f>-('DESIGN CRIT'!C43+'DESIGN CRIT'!E30/2/12)</f>
        <v>-0.91666666666666663</v>
      </c>
      <c r="I88" s="102"/>
      <c r="J88" s="102"/>
      <c r="K88" s="102"/>
      <c r="V88" s="87"/>
    </row>
    <row r="89" spans="1:22" x14ac:dyDescent="0.2">
      <c r="A89" s="107" t="s">
        <v>90</v>
      </c>
      <c r="B89" s="85">
        <v>2.25</v>
      </c>
      <c r="C89" s="85">
        <v>1.6930000000000001</v>
      </c>
      <c r="F89" s="88">
        <v>2</v>
      </c>
      <c r="G89" s="88">
        <f>G88</f>
        <v>-0.91666666666666663</v>
      </c>
      <c r="H89" s="88">
        <f>-H88</f>
        <v>0.91666666666666663</v>
      </c>
      <c r="I89" s="102"/>
      <c r="J89" s="108" t="s">
        <v>95</v>
      </c>
      <c r="K89" s="85"/>
      <c r="L89" s="105"/>
      <c r="V89" s="87"/>
    </row>
    <row r="90" spans="1:22" x14ac:dyDescent="0.2">
      <c r="F90" s="88">
        <v>3</v>
      </c>
      <c r="G90" s="88">
        <f>-G88</f>
        <v>0.91666666666666663</v>
      </c>
      <c r="H90" s="88">
        <f>H89</f>
        <v>0.91666666666666663</v>
      </c>
      <c r="I90" s="102"/>
      <c r="J90" s="88"/>
      <c r="K90" s="88" t="s">
        <v>47</v>
      </c>
      <c r="L90" s="88" t="s">
        <v>48</v>
      </c>
      <c r="V90" s="87"/>
    </row>
    <row r="91" spans="1:22" x14ac:dyDescent="0.2">
      <c r="F91" s="88">
        <v>4</v>
      </c>
      <c r="G91" s="88">
        <f>G90</f>
        <v>0.91666666666666663</v>
      </c>
      <c r="H91" s="88">
        <f>H88</f>
        <v>-0.91666666666666663</v>
      </c>
      <c r="I91" s="102"/>
      <c r="J91" s="88">
        <v>1</v>
      </c>
      <c r="K91" s="88">
        <f>'DESIGN CRIT'!B43+'DESIGN CRIT'!E30/2/12</f>
        <v>0.91666666666666663</v>
      </c>
      <c r="L91" s="88">
        <f ca="1">L79</f>
        <v>-4.25</v>
      </c>
      <c r="V91" s="87"/>
    </row>
    <row r="92" spans="1:22" x14ac:dyDescent="0.2">
      <c r="F92" s="88">
        <v>5</v>
      </c>
      <c r="G92" s="88">
        <f>G88</f>
        <v>-0.91666666666666663</v>
      </c>
      <c r="H92" s="88">
        <f>H88</f>
        <v>-0.91666666666666663</v>
      </c>
      <c r="I92" s="102"/>
      <c r="J92" s="88">
        <v>2</v>
      </c>
      <c r="K92" s="88">
        <f>K91</f>
        <v>0.91666666666666663</v>
      </c>
      <c r="L92" s="88">
        <f ca="1">L80</f>
        <v>4.25</v>
      </c>
      <c r="V92" s="87"/>
    </row>
    <row r="93" spans="1:22" x14ac:dyDescent="0.2">
      <c r="F93" s="88"/>
      <c r="G93" s="88">
        <f>MAX(G88:G92)-MIN(G88:G92)</f>
        <v>1.8333333333333333</v>
      </c>
      <c r="H93" s="88">
        <f>MAX(H88:H92)-MIN(H88:H92)</f>
        <v>1.8333333333333333</v>
      </c>
      <c r="I93" s="102"/>
      <c r="J93" s="88"/>
      <c r="K93" s="88"/>
      <c r="L93" s="88"/>
      <c r="V93" s="87"/>
    </row>
    <row r="94" spans="1:22" x14ac:dyDescent="0.2">
      <c r="I94" s="102"/>
      <c r="J94" s="88"/>
      <c r="K94" s="88"/>
      <c r="L94" s="88"/>
      <c r="V94" s="87"/>
    </row>
    <row r="95" spans="1:22" x14ac:dyDescent="0.2">
      <c r="I95" s="102"/>
      <c r="J95" s="108" t="s">
        <v>96</v>
      </c>
      <c r="K95" s="85"/>
      <c r="L95" s="105"/>
      <c r="V95" s="87"/>
    </row>
    <row r="96" spans="1:22" x14ac:dyDescent="0.2">
      <c r="I96" s="102"/>
      <c r="J96" s="88"/>
      <c r="K96" s="88" t="s">
        <v>47</v>
      </c>
      <c r="L96" s="88" t="s">
        <v>48</v>
      </c>
      <c r="V96" s="87"/>
    </row>
    <row r="97" spans="9:22" x14ac:dyDescent="0.2">
      <c r="I97" s="102"/>
      <c r="J97" s="88">
        <v>1</v>
      </c>
      <c r="K97" s="88">
        <f ca="1">K85</f>
        <v>-5.75</v>
      </c>
      <c r="L97" s="88">
        <f>'DESIGN CRIT'!C43+'DESIGN CRIT'!E30/2/12</f>
        <v>0.91666666666666663</v>
      </c>
      <c r="V97" s="87"/>
    </row>
    <row r="98" spans="9:22" x14ac:dyDescent="0.2">
      <c r="I98" s="102"/>
      <c r="J98" s="88">
        <v>2</v>
      </c>
      <c r="K98" s="88">
        <f ca="1">K86</f>
        <v>5.75</v>
      </c>
      <c r="L98" s="88">
        <f>L97</f>
        <v>0.91666666666666663</v>
      </c>
      <c r="V98" s="87"/>
    </row>
    <row r="99" spans="9:22" x14ac:dyDescent="0.2">
      <c r="I99" s="102"/>
      <c r="J99" s="88"/>
      <c r="K99" s="88"/>
      <c r="L99" s="88"/>
      <c r="V99" s="87"/>
    </row>
    <row r="100" spans="9:22" x14ac:dyDescent="0.2">
      <c r="I100" s="102"/>
      <c r="J100" s="86" t="s">
        <v>139</v>
      </c>
      <c r="K100" s="102"/>
      <c r="V100" s="87"/>
    </row>
    <row r="101" spans="9:22" x14ac:dyDescent="0.2">
      <c r="I101" s="102"/>
      <c r="K101" s="88" t="s">
        <v>47</v>
      </c>
      <c r="L101" s="88" t="s">
        <v>48</v>
      </c>
      <c r="V101" s="87"/>
    </row>
    <row r="102" spans="9:22" x14ac:dyDescent="0.2">
      <c r="I102" s="102"/>
      <c r="J102" s="102">
        <v>1</v>
      </c>
      <c r="K102" s="102">
        <f ca="1">K97+'DESIGN CRIT'!E38/12</f>
        <v>-5.5</v>
      </c>
      <c r="L102" s="87">
        <f ca="1">MAX($C$35:$C$59)-B60/2</f>
        <v>1.5</v>
      </c>
      <c r="V102" s="87"/>
    </row>
    <row r="103" spans="9:22" x14ac:dyDescent="0.2">
      <c r="I103" s="102"/>
      <c r="J103" s="102">
        <v>2</v>
      </c>
      <c r="K103" s="102">
        <f ca="1">K98-'DESIGN CRIT'!E38/12</f>
        <v>5.5</v>
      </c>
      <c r="L103" s="87">
        <f ca="1">L102</f>
        <v>1.5</v>
      </c>
      <c r="V103" s="87"/>
    </row>
    <row r="104" spans="9:22" x14ac:dyDescent="0.2">
      <c r="I104" s="102"/>
      <c r="J104" s="86" t="s">
        <v>140</v>
      </c>
      <c r="K104" s="102"/>
      <c r="V104" s="87"/>
    </row>
    <row r="105" spans="9:22" x14ac:dyDescent="0.2">
      <c r="I105" s="102"/>
      <c r="K105" s="88" t="s">
        <v>47</v>
      </c>
      <c r="L105" s="88" t="s">
        <v>48</v>
      </c>
      <c r="V105" s="87"/>
    </row>
    <row r="106" spans="9:22" x14ac:dyDescent="0.2">
      <c r="I106" s="102"/>
      <c r="J106" s="102">
        <v>1</v>
      </c>
      <c r="K106" s="102">
        <f ca="1">MAX($B$35:$B$59)-B60/2</f>
        <v>3</v>
      </c>
      <c r="L106" s="87">
        <f ca="1">L91+'DESIGN CRIT'!E38/12</f>
        <v>-4</v>
      </c>
      <c r="V106" s="87"/>
    </row>
    <row r="107" spans="9:22" x14ac:dyDescent="0.2">
      <c r="I107" s="102"/>
      <c r="J107" s="102">
        <v>2</v>
      </c>
      <c r="K107" s="102">
        <f ca="1">K106</f>
        <v>3</v>
      </c>
      <c r="L107" s="87">
        <f ca="1">L92-'DESIGN CRIT'!E38/12</f>
        <v>4</v>
      </c>
      <c r="V107" s="87"/>
    </row>
    <row r="108" spans="9:22" x14ac:dyDescent="0.2">
      <c r="I108" s="102"/>
      <c r="J108" s="102"/>
      <c r="K108" s="102"/>
      <c r="V108" s="87"/>
    </row>
    <row r="109" spans="9:22" x14ac:dyDescent="0.2">
      <c r="I109" s="102"/>
      <c r="J109" s="102" t="s">
        <v>141</v>
      </c>
      <c r="K109" s="102"/>
      <c r="V109" s="87"/>
    </row>
    <row r="110" spans="9:22" x14ac:dyDescent="0.2">
      <c r="I110" s="102"/>
      <c r="K110" s="88" t="s">
        <v>47</v>
      </c>
      <c r="L110" s="88" t="s">
        <v>48</v>
      </c>
      <c r="V110" s="87"/>
    </row>
    <row r="111" spans="9:22" x14ac:dyDescent="0.2">
      <c r="I111" s="102"/>
      <c r="J111" s="102">
        <v>1</v>
      </c>
      <c r="K111" s="102">
        <f ca="1">K97</f>
        <v>-5.75</v>
      </c>
      <c r="L111" s="87">
        <f ca="1">L91*1.1</f>
        <v>-4.6750000000000007</v>
      </c>
      <c r="V111" s="87"/>
    </row>
    <row r="112" spans="9:22" x14ac:dyDescent="0.2">
      <c r="I112" s="102"/>
      <c r="J112" s="102">
        <v>2</v>
      </c>
      <c r="K112" s="102">
        <f ca="1">K98</f>
        <v>5.75</v>
      </c>
      <c r="L112" s="87">
        <f ca="1">L111</f>
        <v>-4.6750000000000007</v>
      </c>
      <c r="V112" s="87"/>
    </row>
    <row r="113" spans="1:22" x14ac:dyDescent="0.2">
      <c r="I113" s="102"/>
      <c r="J113" s="102"/>
      <c r="K113" s="102"/>
      <c r="V113" s="87"/>
    </row>
    <row r="114" spans="1:22" x14ac:dyDescent="0.2">
      <c r="I114" s="102"/>
      <c r="J114" s="102" t="s">
        <v>142</v>
      </c>
      <c r="K114" s="102"/>
      <c r="V114" s="87"/>
    </row>
    <row r="115" spans="1:22" x14ac:dyDescent="0.2">
      <c r="K115" s="88" t="s">
        <v>47</v>
      </c>
      <c r="L115" s="88" t="s">
        <v>48</v>
      </c>
      <c r="V115" s="87"/>
    </row>
    <row r="116" spans="1:22" x14ac:dyDescent="0.2">
      <c r="J116" s="102">
        <v>1</v>
      </c>
      <c r="K116" s="102">
        <f ca="1">K85*1.1</f>
        <v>-6.3250000000000002</v>
      </c>
      <c r="L116" s="87">
        <f ca="1">L91</f>
        <v>-4.25</v>
      </c>
      <c r="V116" s="87"/>
    </row>
    <row r="117" spans="1:22" x14ac:dyDescent="0.2">
      <c r="J117" s="102">
        <v>2</v>
      </c>
      <c r="K117" s="102">
        <f ca="1">K116</f>
        <v>-6.3250000000000002</v>
      </c>
      <c r="L117" s="87">
        <f ca="1">L92</f>
        <v>4.25</v>
      </c>
      <c r="V117" s="87"/>
    </row>
    <row r="118" spans="1:22" x14ac:dyDescent="0.2">
      <c r="J118" s="102"/>
      <c r="K118" s="102"/>
      <c r="V118" s="87"/>
    </row>
    <row r="119" spans="1:22" x14ac:dyDescent="0.2">
      <c r="V119" s="87"/>
    </row>
    <row r="120" spans="1:22" x14ac:dyDescent="0.2">
      <c r="V120" s="87"/>
    </row>
    <row r="121" spans="1:22" x14ac:dyDescent="0.2">
      <c r="V121" s="87"/>
    </row>
    <row r="122" spans="1:22" x14ac:dyDescent="0.2">
      <c r="V122" s="87"/>
    </row>
    <row r="123" spans="1:22" x14ac:dyDescent="0.2">
      <c r="A123" s="108" t="s">
        <v>104</v>
      </c>
      <c r="V123" s="87"/>
    </row>
    <row r="124" spans="1:22" x14ac:dyDescent="0.2">
      <c r="A124" s="110">
        <v>3000</v>
      </c>
      <c r="B124" s="85">
        <v>0.51</v>
      </c>
      <c r="C124" s="85">
        <v>7.2599999999999998E-2</v>
      </c>
      <c r="V124" s="87"/>
    </row>
    <row r="125" spans="1:22" x14ac:dyDescent="0.2">
      <c r="A125" s="110">
        <v>4000</v>
      </c>
      <c r="B125" s="85">
        <v>0.68</v>
      </c>
      <c r="C125" s="85">
        <v>5.45E-2</v>
      </c>
      <c r="V125" s="87"/>
    </row>
    <row r="126" spans="1:22" x14ac:dyDescent="0.2">
      <c r="A126" s="110">
        <v>5000</v>
      </c>
      <c r="B126" s="85">
        <v>0.85</v>
      </c>
      <c r="C126" s="85">
        <v>4.36E-2</v>
      </c>
      <c r="V126" s="87"/>
    </row>
    <row r="127" spans="1:22" x14ac:dyDescent="0.2">
      <c r="A127" s="110">
        <v>6000</v>
      </c>
      <c r="B127" s="85">
        <v>1.02</v>
      </c>
      <c r="C127" s="85">
        <v>3.6299999999999999E-2</v>
      </c>
      <c r="V127" s="87"/>
    </row>
    <row r="128" spans="1:22" x14ac:dyDescent="0.2">
      <c r="V128" s="87"/>
    </row>
    <row r="129" spans="22:22" x14ac:dyDescent="0.2">
      <c r="V129" s="87"/>
    </row>
    <row r="130" spans="22:22" x14ac:dyDescent="0.2">
      <c r="V130" s="87"/>
    </row>
    <row r="131" spans="22:22" x14ac:dyDescent="0.2">
      <c r="V131" s="87"/>
    </row>
    <row r="132" spans="22:22" x14ac:dyDescent="0.2">
      <c r="V132" s="87"/>
    </row>
    <row r="133" spans="22:22" x14ac:dyDescent="0.2">
      <c r="V133" s="87"/>
    </row>
    <row r="134" spans="22:22" x14ac:dyDescent="0.2">
      <c r="V134" s="87"/>
    </row>
    <row r="135" spans="22:22" x14ac:dyDescent="0.2">
      <c r="V135" s="87"/>
    </row>
    <row r="136" spans="22:22" x14ac:dyDescent="0.2">
      <c r="V136" s="87"/>
    </row>
    <row r="137" spans="22:22" x14ac:dyDescent="0.2">
      <c r="V137" s="87"/>
    </row>
    <row r="138" spans="22:22" x14ac:dyDescent="0.2">
      <c r="V138" s="87"/>
    </row>
    <row r="139" spans="22:22" x14ac:dyDescent="0.2">
      <c r="V139" s="87"/>
    </row>
    <row r="140" spans="22:22" x14ac:dyDescent="0.2">
      <c r="V140" s="87"/>
    </row>
    <row r="141" spans="22:22" x14ac:dyDescent="0.2">
      <c r="V141" s="87"/>
    </row>
    <row r="142" spans="22:22" x14ac:dyDescent="0.2">
      <c r="V142" s="87"/>
    </row>
    <row r="143" spans="22:22" x14ac:dyDescent="0.2">
      <c r="V143" s="87"/>
    </row>
    <row r="144" spans="22:22" x14ac:dyDescent="0.2">
      <c r="V144" s="87"/>
    </row>
    <row r="145" spans="1:22" x14ac:dyDescent="0.2">
      <c r="V145" s="87"/>
    </row>
    <row r="146" spans="1:22" x14ac:dyDescent="0.2">
      <c r="V146" s="87"/>
    </row>
    <row r="147" spans="1:22" x14ac:dyDescent="0.2">
      <c r="A147" s="475"/>
      <c r="B147" s="475"/>
      <c r="C147" s="475"/>
      <c r="V147" s="87"/>
    </row>
    <row r="148" spans="1:22" x14ac:dyDescent="0.2">
      <c r="A148" s="475"/>
      <c r="B148" s="475"/>
      <c r="C148" s="475"/>
      <c r="V148" s="87"/>
    </row>
    <row r="149" spans="1:22" x14ac:dyDescent="0.2">
      <c r="V149" s="87"/>
    </row>
    <row r="150" spans="1:22" x14ac:dyDescent="0.2">
      <c r="V150" s="87"/>
    </row>
    <row r="151" spans="1:22" x14ac:dyDescent="0.2">
      <c r="V151" s="87"/>
    </row>
    <row r="152" spans="1:22" x14ac:dyDescent="0.2">
      <c r="V152" s="87"/>
    </row>
    <row r="153" spans="1:22" x14ac:dyDescent="0.2">
      <c r="V153" s="87"/>
    </row>
    <row r="154" spans="1:22" x14ac:dyDescent="0.2">
      <c r="V154" s="87"/>
    </row>
    <row r="155" spans="1:22" x14ac:dyDescent="0.2">
      <c r="V155" s="87"/>
    </row>
    <row r="156" spans="1:22" x14ac:dyDescent="0.2">
      <c r="V156" s="87"/>
    </row>
    <row r="157" spans="1:22" x14ac:dyDescent="0.2">
      <c r="V157" s="87"/>
    </row>
    <row r="158" spans="1:22" x14ac:dyDescent="0.2">
      <c r="V158" s="87"/>
    </row>
    <row r="159" spans="1:22" x14ac:dyDescent="0.2">
      <c r="V159" s="87"/>
    </row>
    <row r="160" spans="1:22" x14ac:dyDescent="0.2">
      <c r="V160" s="87"/>
    </row>
    <row r="161" spans="22:22" x14ac:dyDescent="0.2">
      <c r="V161" s="87"/>
    </row>
    <row r="162" spans="22:22" x14ac:dyDescent="0.2">
      <c r="V162" s="87"/>
    </row>
    <row r="163" spans="22:22" x14ac:dyDescent="0.2">
      <c r="V163" s="87"/>
    </row>
    <row r="164" spans="22:22" x14ac:dyDescent="0.2">
      <c r="V164" s="87"/>
    </row>
    <row r="165" spans="22:22" x14ac:dyDescent="0.2">
      <c r="V165" s="87"/>
    </row>
    <row r="166" spans="22:22" x14ac:dyDescent="0.2">
      <c r="V166" s="87"/>
    </row>
    <row r="167" spans="22:22" x14ac:dyDescent="0.2">
      <c r="V167" s="87"/>
    </row>
    <row r="168" spans="22:22" x14ac:dyDescent="0.2">
      <c r="V168" s="87"/>
    </row>
    <row r="169" spans="22:22" x14ac:dyDescent="0.2">
      <c r="V169" s="87"/>
    </row>
    <row r="170" spans="22:22" x14ac:dyDescent="0.2">
      <c r="V170" s="87"/>
    </row>
    <row r="171" spans="22:22" x14ac:dyDescent="0.2">
      <c r="V171" s="87"/>
    </row>
    <row r="173" spans="22:22" x14ac:dyDescent="0.2">
      <c r="V173" s="87"/>
    </row>
    <row r="174" spans="22:22" x14ac:dyDescent="0.2">
      <c r="V174" s="87"/>
    </row>
    <row r="175" spans="22:22" x14ac:dyDescent="0.2">
      <c r="V175" s="87"/>
    </row>
    <row r="176" spans="22:22" x14ac:dyDescent="0.2">
      <c r="V176" s="87"/>
    </row>
    <row r="177" spans="22:22" x14ac:dyDescent="0.2">
      <c r="V177" s="87"/>
    </row>
    <row r="178" spans="22:22" x14ac:dyDescent="0.2">
      <c r="V178" s="87"/>
    </row>
    <row r="179" spans="22:22" x14ac:dyDescent="0.2">
      <c r="V179" s="87"/>
    </row>
    <row r="180" spans="22:22" x14ac:dyDescent="0.2">
      <c r="V180" s="87"/>
    </row>
    <row r="181" spans="22:22" x14ac:dyDescent="0.2">
      <c r="V181" s="87"/>
    </row>
    <row r="182" spans="22:22" x14ac:dyDescent="0.2">
      <c r="V182" s="87"/>
    </row>
    <row r="183" spans="22:22" x14ac:dyDescent="0.2">
      <c r="V183" s="87"/>
    </row>
    <row r="184" spans="22:22" x14ac:dyDescent="0.2">
      <c r="V184" s="87"/>
    </row>
    <row r="185" spans="22:22" x14ac:dyDescent="0.2">
      <c r="V185" s="87"/>
    </row>
    <row r="186" spans="22:22" x14ac:dyDescent="0.2">
      <c r="V186" s="87"/>
    </row>
    <row r="187" spans="22:22" x14ac:dyDescent="0.2">
      <c r="V187" s="87"/>
    </row>
    <row r="188" spans="22:22" x14ac:dyDescent="0.2">
      <c r="V188" s="87"/>
    </row>
    <row r="189" spans="22:22" x14ac:dyDescent="0.2">
      <c r="V189" s="87"/>
    </row>
    <row r="190" spans="22:22" x14ac:dyDescent="0.2">
      <c r="V190" s="87"/>
    </row>
    <row r="191" spans="22:22" x14ac:dyDescent="0.2">
      <c r="V191" s="87"/>
    </row>
    <row r="192" spans="22:22" x14ac:dyDescent="0.2">
      <c r="V192" s="87"/>
    </row>
    <row r="193" spans="22:22" x14ac:dyDescent="0.2">
      <c r="V193" s="87"/>
    </row>
    <row r="194" spans="22:22" x14ac:dyDescent="0.2">
      <c r="V194" s="87"/>
    </row>
    <row r="195" spans="22:22" x14ac:dyDescent="0.2">
      <c r="V195" s="87"/>
    </row>
    <row r="196" spans="22:22" x14ac:dyDescent="0.2">
      <c r="V196" s="87"/>
    </row>
    <row r="197" spans="22:22" x14ac:dyDescent="0.2">
      <c r="V197" s="87"/>
    </row>
    <row r="198" spans="22:22" x14ac:dyDescent="0.2">
      <c r="V198" s="87"/>
    </row>
    <row r="199" spans="22:22" x14ac:dyDescent="0.2">
      <c r="V199" s="87"/>
    </row>
    <row r="200" spans="22:22" x14ac:dyDescent="0.2">
      <c r="V200" s="87"/>
    </row>
    <row r="201" spans="22:22" x14ac:dyDescent="0.2">
      <c r="V201" s="87"/>
    </row>
    <row r="202" spans="22:22" x14ac:dyDescent="0.2">
      <c r="V202" s="87"/>
    </row>
    <row r="203" spans="22:22" x14ac:dyDescent="0.2">
      <c r="V203" s="87"/>
    </row>
    <row r="204" spans="22:22" x14ac:dyDescent="0.2">
      <c r="V204" s="87"/>
    </row>
    <row r="205" spans="22:22" x14ac:dyDescent="0.2">
      <c r="V205" s="87"/>
    </row>
    <row r="206" spans="22:22" x14ac:dyDescent="0.2">
      <c r="V206" s="87"/>
    </row>
    <row r="207" spans="22:22" x14ac:dyDescent="0.2">
      <c r="V207" s="87"/>
    </row>
    <row r="208" spans="22:22" x14ac:dyDescent="0.2">
      <c r="V208" s="87"/>
    </row>
    <row r="209" spans="22:22" x14ac:dyDescent="0.2">
      <c r="V209" s="87"/>
    </row>
    <row r="210" spans="22:22" x14ac:dyDescent="0.2">
      <c r="V210" s="87"/>
    </row>
    <row r="211" spans="22:22" x14ac:dyDescent="0.2">
      <c r="V211" s="87"/>
    </row>
    <row r="212" spans="22:22" x14ac:dyDescent="0.2">
      <c r="V212" s="87"/>
    </row>
    <row r="213" spans="22:22" x14ac:dyDescent="0.2">
      <c r="V213" s="87"/>
    </row>
    <row r="216" spans="22:22" x14ac:dyDescent="0.2">
      <c r="V216" s="87"/>
    </row>
    <row r="217" spans="22:22" x14ac:dyDescent="0.2">
      <c r="V217" s="87"/>
    </row>
    <row r="218" spans="22:22" x14ac:dyDescent="0.2">
      <c r="V218" s="87"/>
    </row>
    <row r="219" spans="22:22" x14ac:dyDescent="0.2">
      <c r="V219" s="87"/>
    </row>
    <row r="220" spans="22:22" x14ac:dyDescent="0.2">
      <c r="V220" s="87"/>
    </row>
    <row r="221" spans="22:22" x14ac:dyDescent="0.2">
      <c r="V221" s="87"/>
    </row>
    <row r="222" spans="22:22" x14ac:dyDescent="0.2">
      <c r="V222" s="87"/>
    </row>
    <row r="223" spans="22:22" x14ac:dyDescent="0.2">
      <c r="V223" s="87"/>
    </row>
    <row r="224" spans="22:22" x14ac:dyDescent="0.2">
      <c r="V224" s="87"/>
    </row>
    <row r="225" spans="22:22" x14ac:dyDescent="0.2">
      <c r="V225" s="87"/>
    </row>
    <row r="226" spans="22:22" x14ac:dyDescent="0.2">
      <c r="V226" s="87"/>
    </row>
    <row r="227" spans="22:22" x14ac:dyDescent="0.2">
      <c r="V227" s="87"/>
    </row>
    <row r="228" spans="22:22" x14ac:dyDescent="0.2">
      <c r="V228" s="87"/>
    </row>
    <row r="229" spans="22:22" x14ac:dyDescent="0.2">
      <c r="V229" s="87"/>
    </row>
    <row r="230" spans="22:22" x14ac:dyDescent="0.2">
      <c r="V230" s="87"/>
    </row>
    <row r="231" spans="22:22" x14ac:dyDescent="0.2">
      <c r="V231" s="87"/>
    </row>
    <row r="232" spans="22:22" x14ac:dyDescent="0.2">
      <c r="V232" s="87"/>
    </row>
    <row r="233" spans="22:22" x14ac:dyDescent="0.2">
      <c r="V233" s="87"/>
    </row>
    <row r="234" spans="22:22" x14ac:dyDescent="0.2">
      <c r="V234" s="87"/>
    </row>
    <row r="235" spans="22:22" x14ac:dyDescent="0.2">
      <c r="V235" s="87"/>
    </row>
    <row r="236" spans="22:22" x14ac:dyDescent="0.2">
      <c r="V236" s="87"/>
    </row>
    <row r="237" spans="22:22" x14ac:dyDescent="0.2">
      <c r="V237" s="87"/>
    </row>
    <row r="238" spans="22:22" x14ac:dyDescent="0.2">
      <c r="V238" s="87"/>
    </row>
    <row r="239" spans="22:22" x14ac:dyDescent="0.2">
      <c r="V239" s="87"/>
    </row>
    <row r="240" spans="22:22" x14ac:dyDescent="0.2">
      <c r="V240" s="87"/>
    </row>
    <row r="241" spans="22:22" x14ac:dyDescent="0.2">
      <c r="V241" s="87"/>
    </row>
    <row r="242" spans="22:22" x14ac:dyDescent="0.2">
      <c r="V242" s="87"/>
    </row>
    <row r="243" spans="22:22" x14ac:dyDescent="0.2">
      <c r="V243" s="87"/>
    </row>
    <row r="244" spans="22:22" x14ac:dyDescent="0.2">
      <c r="V244" s="87"/>
    </row>
    <row r="245" spans="22:22" x14ac:dyDescent="0.2">
      <c r="V245" s="87"/>
    </row>
    <row r="246" spans="22:22" x14ac:dyDescent="0.2">
      <c r="V246" s="87"/>
    </row>
    <row r="247" spans="22:22" x14ac:dyDescent="0.2">
      <c r="V247" s="87"/>
    </row>
    <row r="248" spans="22:22" x14ac:dyDescent="0.2">
      <c r="V248" s="87"/>
    </row>
    <row r="249" spans="22:22" x14ac:dyDescent="0.2">
      <c r="V249" s="87"/>
    </row>
    <row r="250" spans="22:22" x14ac:dyDescent="0.2">
      <c r="V250" s="87"/>
    </row>
    <row r="251" spans="22:22" x14ac:dyDescent="0.2">
      <c r="V251" s="87"/>
    </row>
    <row r="252" spans="22:22" x14ac:dyDescent="0.2">
      <c r="V252" s="87"/>
    </row>
    <row r="253" spans="22:22" x14ac:dyDescent="0.2">
      <c r="V253" s="87"/>
    </row>
    <row r="254" spans="22:22" x14ac:dyDescent="0.2">
      <c r="V254" s="87"/>
    </row>
    <row r="255" spans="22:22" x14ac:dyDescent="0.2">
      <c r="V255" s="87"/>
    </row>
    <row r="256" spans="22:22" x14ac:dyDescent="0.2">
      <c r="V256" s="87"/>
    </row>
    <row r="259" spans="22:22" x14ac:dyDescent="0.2">
      <c r="V259" s="87"/>
    </row>
    <row r="260" spans="22:22" x14ac:dyDescent="0.2">
      <c r="V260" s="87"/>
    </row>
    <row r="261" spans="22:22" x14ac:dyDescent="0.2">
      <c r="V261" s="87"/>
    </row>
    <row r="262" spans="22:22" x14ac:dyDescent="0.2">
      <c r="V262" s="87"/>
    </row>
    <row r="263" spans="22:22" x14ac:dyDescent="0.2">
      <c r="V263" s="87"/>
    </row>
    <row r="264" spans="22:22" x14ac:dyDescent="0.2">
      <c r="V264" s="87"/>
    </row>
    <row r="265" spans="22:22" x14ac:dyDescent="0.2">
      <c r="V265" s="87"/>
    </row>
    <row r="266" spans="22:22" x14ac:dyDescent="0.2">
      <c r="V266" s="87"/>
    </row>
    <row r="267" spans="22:22" x14ac:dyDescent="0.2">
      <c r="V267" s="87"/>
    </row>
    <row r="268" spans="22:22" x14ac:dyDescent="0.2">
      <c r="V268" s="87"/>
    </row>
    <row r="269" spans="22:22" x14ac:dyDescent="0.2">
      <c r="V269" s="87"/>
    </row>
    <row r="270" spans="22:22" x14ac:dyDescent="0.2">
      <c r="V270" s="87"/>
    </row>
    <row r="271" spans="22:22" x14ac:dyDescent="0.2">
      <c r="V271" s="87"/>
    </row>
    <row r="272" spans="22:22" x14ac:dyDescent="0.2">
      <c r="V272" s="87"/>
    </row>
    <row r="273" spans="22:22" x14ac:dyDescent="0.2">
      <c r="V273" s="87"/>
    </row>
    <row r="275" spans="22:22" x14ac:dyDescent="0.2">
      <c r="V275" s="87"/>
    </row>
    <row r="352" spans="1:2" x14ac:dyDescent="0.2">
      <c r="A352" s="476"/>
      <c r="B352" s="477"/>
    </row>
    <row r="353" spans="1:2" x14ac:dyDescent="0.2">
      <c r="A353" s="476"/>
      <c r="B353" s="477"/>
    </row>
    <row r="354" spans="1:2" x14ac:dyDescent="0.2">
      <c r="A354" s="476"/>
      <c r="B354" s="477"/>
    </row>
    <row r="355" spans="1:2" x14ac:dyDescent="0.2">
      <c r="A355" s="476"/>
      <c r="B355" s="477"/>
    </row>
    <row r="356" spans="1:2" x14ac:dyDescent="0.2">
      <c r="A356" s="476"/>
      <c r="B356" s="477"/>
    </row>
    <row r="357" spans="1:2" x14ac:dyDescent="0.2">
      <c r="A357" s="476"/>
      <c r="B357" s="477"/>
    </row>
    <row r="358" spans="1:2" x14ac:dyDescent="0.2">
      <c r="A358" s="476"/>
      <c r="B358" s="477"/>
    </row>
    <row r="359" spans="1:2" x14ac:dyDescent="0.2">
      <c r="A359" s="476"/>
      <c r="B359" s="477"/>
    </row>
    <row r="360" spans="1:2" x14ac:dyDescent="0.2">
      <c r="A360" s="476"/>
      <c r="B360" s="477"/>
    </row>
    <row r="361" spans="1:2" x14ac:dyDescent="0.2">
      <c r="A361" s="476"/>
      <c r="B361" s="477"/>
    </row>
    <row r="362" spans="1:2" x14ac:dyDescent="0.2">
      <c r="A362" s="476"/>
      <c r="B362" s="477"/>
    </row>
    <row r="363" spans="1:2" x14ac:dyDescent="0.2">
      <c r="A363" s="476"/>
      <c r="B363" s="477"/>
    </row>
  </sheetData>
  <mergeCells count="4">
    <mergeCell ref="A147:C148"/>
    <mergeCell ref="A352:B355"/>
    <mergeCell ref="A356:B359"/>
    <mergeCell ref="A360:B363"/>
  </mergeCells>
  <conditionalFormatting sqref="G174:G175">
    <cfRule type="cellIs" dxfId="2" priority="3" stopIfTrue="1" operator="equal">
      <formula>"""ERROR"""</formula>
    </cfRule>
  </conditionalFormatting>
  <conditionalFormatting sqref="G220">
    <cfRule type="cellIs" dxfId="1" priority="2" stopIfTrue="1" operator="equal">
      <formula>"""ERROR"""</formula>
    </cfRule>
  </conditionalFormatting>
  <conditionalFormatting sqref="G263">
    <cfRule type="cellIs" dxfId="0" priority="1" stopIfTrue="1" operator="equal">
      <formula>"""ERROR"""</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workbookViewId="0">
      <selection activeCell="I42" sqref="I42"/>
    </sheetView>
  </sheetViews>
  <sheetFormatPr defaultRowHeight="12.7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topLeftCell="A7" workbookViewId="0">
      <selection activeCell="O30" sqref="O30"/>
    </sheetView>
  </sheetViews>
  <sheetFormatPr defaultRowHeight="12.75" x14ac:dyDescent="0.2"/>
  <sheetData>
    <row r="1" spans="1:1" x14ac:dyDescent="0.2">
      <c r="A1" s="60" t="s">
        <v>200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15"/>
  <sheetViews>
    <sheetView workbookViewId="0">
      <selection activeCell="D32" sqref="D32"/>
    </sheetView>
  </sheetViews>
  <sheetFormatPr defaultRowHeight="12.75" x14ac:dyDescent="0.2"/>
  <sheetData>
    <row r="1" spans="1:1" x14ac:dyDescent="0.2">
      <c r="A1" s="60" t="s">
        <v>201</v>
      </c>
    </row>
    <row r="15" spans="1:1" x14ac:dyDescent="0.2">
      <c r="A15" s="60" t="s">
        <v>304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workbookViewId="0">
      <selection activeCell="Q35" sqref="Q35"/>
    </sheetView>
  </sheetViews>
  <sheetFormatPr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16</vt:i4>
      </vt:variant>
    </vt:vector>
  </HeadingPairs>
  <TitlesOfParts>
    <vt:vector size="23" baseType="lpstr">
      <vt:lpstr>INSTRUCTIONS</vt:lpstr>
      <vt:lpstr>DESIGN CRIT</vt:lpstr>
      <vt:lpstr>PILECAP WKST</vt:lpstr>
      <vt:lpstr>FIGS</vt:lpstr>
      <vt:lpstr>EQNS &amp; TABLES</vt:lpstr>
      <vt:lpstr>EXCERPTS</vt:lpstr>
      <vt:lpstr>TABUL DES</vt:lpstr>
      <vt:lpstr>cdim</vt:lpstr>
      <vt:lpstr>ct</vt:lpstr>
      <vt:lpstr>DropDownChoices</vt:lpstr>
      <vt:lpstr>e</vt:lpstr>
      <vt:lpstr>FC</vt:lpstr>
      <vt:lpstr>Fy</vt:lpstr>
      <vt:lpstr>L</vt:lpstr>
      <vt:lpstr>lf</vt:lpstr>
      <vt:lpstr>np</vt:lpstr>
      <vt:lpstr>OptionPicked</vt:lpstr>
      <vt:lpstr>'DESIGN CRIT'!Print_Area</vt:lpstr>
      <vt:lpstr>INSTRUCTIONS!Print_Area</vt:lpstr>
      <vt:lpstr>pt</vt:lpstr>
      <vt:lpstr>TableNames</vt:lpstr>
      <vt:lpstr>x0</vt:lpstr>
      <vt:lpstr>y0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 Luo</dc:creator>
  <cp:lastModifiedBy>Maxwell Coar</cp:lastModifiedBy>
  <cp:lastPrinted>2019-07-16T14:00:49Z</cp:lastPrinted>
  <dcterms:created xsi:type="dcterms:W3CDTF">1999-11-22T20:04:47Z</dcterms:created>
  <dcterms:modified xsi:type="dcterms:W3CDTF">2019-07-23T14:39:12Z</dcterms:modified>
</cp:coreProperties>
</file>