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 Starnes\Documents\GitHub\Bluff-Lake-Project\_analysis\Anglers\_dat\"/>
    </mc:Choice>
  </mc:AlternateContent>
  <xr:revisionPtr revIDLastSave="0" documentId="8_{DBC64891-8598-4E53-AB05-113C82EB24A7}" xr6:coauthVersionLast="41" xr6:coauthVersionMax="41" xr10:uidLastSave="{00000000-0000-0000-0000-000000000000}"/>
  <bookViews>
    <workbookView xWindow="-11505" yWindow="660" windowWidth="19965" windowHeight="6945" xr2:uid="{055B90F0-9C3F-4D21-8E53-7B079F94007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6" i="1"/>
  <c r="AB5" i="1"/>
  <c r="AB4" i="1"/>
  <c r="AB2" i="1"/>
  <c r="AB3" i="1"/>
  <c r="X2" i="1"/>
  <c r="K7" i="1"/>
  <c r="K13" i="1"/>
  <c r="K14" i="1"/>
  <c r="K18" i="1"/>
  <c r="K20" i="1"/>
  <c r="K30" i="1"/>
  <c r="K31" i="1"/>
  <c r="U6" i="1" s="1"/>
  <c r="J2" i="1"/>
  <c r="K2" i="1" s="1"/>
  <c r="J3" i="1"/>
  <c r="K3" i="1" s="1"/>
  <c r="J4" i="1"/>
  <c r="K4" i="1" s="1"/>
  <c r="J5" i="1"/>
  <c r="K5" i="1" s="1"/>
  <c r="J6" i="1"/>
  <c r="K6" i="1" s="1"/>
  <c r="J7" i="1"/>
  <c r="J8" i="1"/>
  <c r="K8" i="1" s="1"/>
  <c r="J10" i="1"/>
  <c r="K10" i="1" s="1"/>
  <c r="J16" i="1"/>
  <c r="K16" i="1" s="1"/>
  <c r="J17" i="1"/>
  <c r="K17" i="1" s="1"/>
  <c r="J24" i="1"/>
  <c r="K24" i="1" s="1"/>
  <c r="J25" i="1"/>
  <c r="K25" i="1" s="1"/>
  <c r="J26" i="1"/>
  <c r="K26" i="1" s="1"/>
  <c r="J27" i="1"/>
  <c r="K27" i="1" s="1"/>
  <c r="J29" i="1"/>
  <c r="K29" i="1" s="1"/>
  <c r="J41" i="1"/>
  <c r="K41" i="1" s="1"/>
  <c r="X39" i="1"/>
  <c r="Y3" i="1"/>
  <c r="Y4" i="1"/>
  <c r="Y5" i="1"/>
  <c r="Y6" i="1"/>
  <c r="Y7" i="1"/>
  <c r="X3" i="1"/>
  <c r="X4" i="1"/>
  <c r="X5" i="1"/>
  <c r="X6" i="1"/>
  <c r="X7" i="1"/>
  <c r="Y2" i="1"/>
  <c r="Z6" i="1"/>
  <c r="AA6" i="1" s="1"/>
  <c r="Z7" i="1"/>
  <c r="AA7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L9" i="1" s="1"/>
  <c r="N9" i="1" s="1"/>
  <c r="H10" i="1"/>
  <c r="I10" i="1" s="1"/>
  <c r="H11" i="1"/>
  <c r="I11" i="1" s="1"/>
  <c r="L11" i="1" s="1"/>
  <c r="N11" i="1" s="1"/>
  <c r="H12" i="1"/>
  <c r="H13" i="1"/>
  <c r="I13" i="1" s="1"/>
  <c r="H14" i="1"/>
  <c r="I14" i="1" s="1"/>
  <c r="H15" i="1"/>
  <c r="I15" i="1" s="1"/>
  <c r="L15" i="1" s="1"/>
  <c r="N15" i="1" s="1"/>
  <c r="H16" i="1"/>
  <c r="I16" i="1" s="1"/>
  <c r="H17" i="1"/>
  <c r="I17" i="1" s="1"/>
  <c r="H18" i="1"/>
  <c r="I18" i="1" s="1"/>
  <c r="H19" i="1"/>
  <c r="I19" i="1" s="1"/>
  <c r="L19" i="1" s="1"/>
  <c r="N19" i="1" s="1"/>
  <c r="H20" i="1"/>
  <c r="I20" i="1" s="1"/>
  <c r="H21" i="1"/>
  <c r="I21" i="1" s="1"/>
  <c r="L21" i="1" s="1"/>
  <c r="N21" i="1" s="1"/>
  <c r="H22" i="1"/>
  <c r="I22" i="1" s="1"/>
  <c r="L22" i="1" s="1"/>
  <c r="N22" i="1" s="1"/>
  <c r="H23" i="1"/>
  <c r="I23" i="1" s="1"/>
  <c r="L23" i="1" s="1"/>
  <c r="N23" i="1" s="1"/>
  <c r="H24" i="1"/>
  <c r="I24" i="1" s="1"/>
  <c r="H25" i="1"/>
  <c r="I25" i="1" s="1"/>
  <c r="H26" i="1"/>
  <c r="I26" i="1" s="1"/>
  <c r="H27" i="1"/>
  <c r="I27" i="1" s="1"/>
  <c r="H28" i="1"/>
  <c r="I28" i="1" s="1"/>
  <c r="L28" i="1" s="1"/>
  <c r="N28" i="1" s="1"/>
  <c r="H29" i="1"/>
  <c r="I29" i="1" s="1"/>
  <c r="H30" i="1"/>
  <c r="I30" i="1" s="1"/>
  <c r="H31" i="1"/>
  <c r="I31" i="1" s="1"/>
  <c r="H32" i="1"/>
  <c r="I32" i="1" s="1"/>
  <c r="L32" i="1" s="1"/>
  <c r="N32" i="1" s="1"/>
  <c r="H33" i="1"/>
  <c r="I33" i="1" s="1"/>
  <c r="L33" i="1" s="1"/>
  <c r="N33" i="1" s="1"/>
  <c r="H34" i="1"/>
  <c r="I34" i="1" s="1"/>
  <c r="H35" i="1"/>
  <c r="I35" i="1" s="1"/>
  <c r="L35" i="1" s="1"/>
  <c r="N35" i="1" s="1"/>
  <c r="H36" i="1"/>
  <c r="I36" i="1" s="1"/>
  <c r="L36" i="1" s="1"/>
  <c r="N36" i="1" s="1"/>
  <c r="H37" i="1"/>
  <c r="I37" i="1" s="1"/>
  <c r="L37" i="1" s="1"/>
  <c r="N37" i="1" s="1"/>
  <c r="H38" i="1"/>
  <c r="I38" i="1" s="1"/>
  <c r="L38" i="1" s="1"/>
  <c r="N38" i="1" s="1"/>
  <c r="H39" i="1"/>
  <c r="I39" i="1" s="1"/>
  <c r="L39" i="1" s="1"/>
  <c r="N39" i="1" s="1"/>
  <c r="H40" i="1"/>
  <c r="I40" i="1" s="1"/>
  <c r="L40" i="1" s="1"/>
  <c r="N40" i="1" s="1"/>
  <c r="H41" i="1"/>
  <c r="I41" i="1" s="1"/>
  <c r="H2" i="1"/>
  <c r="I2" i="1" s="1"/>
  <c r="L31" i="1" l="1"/>
  <c r="N31" i="1" s="1"/>
  <c r="Q4" i="1"/>
  <c r="R7" i="1"/>
  <c r="L34" i="1"/>
  <c r="N34" i="1" s="1"/>
  <c r="L3" i="1"/>
  <c r="L4" i="1"/>
  <c r="L17" i="1"/>
  <c r="N17" i="1" s="1"/>
  <c r="L8" i="1"/>
  <c r="N8" i="1" s="1"/>
  <c r="L41" i="1"/>
  <c r="N41" i="1" s="1"/>
  <c r="L2" i="1"/>
  <c r="L24" i="1"/>
  <c r="L20" i="1"/>
  <c r="L25" i="1"/>
  <c r="N25" i="1" s="1"/>
  <c r="L6" i="1"/>
  <c r="N6" i="1" s="1"/>
  <c r="L7" i="1"/>
  <c r="N7" i="1" s="1"/>
  <c r="L29" i="1"/>
  <c r="I12" i="1"/>
  <c r="L12" i="1" s="1"/>
  <c r="N12" i="1" s="1"/>
  <c r="L18" i="1"/>
  <c r="L10" i="1"/>
  <c r="L26" i="1"/>
  <c r="N26" i="1" s="1"/>
  <c r="L16" i="1"/>
  <c r="L30" i="1"/>
  <c r="L14" i="1"/>
  <c r="L27" i="1"/>
  <c r="L13" i="1"/>
  <c r="N13" i="1" s="1"/>
  <c r="L5" i="1"/>
  <c r="N5" i="1" s="1"/>
  <c r="U7" i="1" l="1"/>
  <c r="N2" i="1"/>
  <c r="U2" i="1"/>
  <c r="T2" i="1"/>
  <c r="N18" i="1"/>
  <c r="T4" i="1" s="1"/>
  <c r="Z4" i="1" s="1"/>
  <c r="U4" i="1"/>
  <c r="N24" i="1"/>
  <c r="Q5" i="1"/>
  <c r="N27" i="1"/>
  <c r="T5" i="1" s="1"/>
  <c r="U5" i="1"/>
  <c r="N16" i="1"/>
  <c r="T3" i="1" s="1"/>
  <c r="U3" i="1"/>
  <c r="N4" i="1"/>
  <c r="R2" i="1"/>
  <c r="N3" i="1"/>
  <c r="Q2" i="1"/>
  <c r="N14" i="1"/>
  <c r="R3" i="1"/>
  <c r="N29" i="1"/>
  <c r="R5" i="1"/>
  <c r="N30" i="1"/>
  <c r="R6" i="1"/>
  <c r="N10" i="1"/>
  <c r="Q3" i="1"/>
  <c r="N20" i="1"/>
  <c r="R4" i="1"/>
  <c r="Z2" i="1" l="1"/>
  <c r="AA2" i="1" s="1"/>
  <c r="Z3" i="1"/>
  <c r="AA3" i="1" s="1"/>
  <c r="Z5" i="1"/>
  <c r="AA5" i="1" s="1"/>
  <c r="AA4" i="1"/>
</calcChain>
</file>

<file path=xl/sharedStrings.xml><?xml version="1.0" encoding="utf-8"?>
<sst xmlns="http://schemas.openxmlformats.org/spreadsheetml/2006/main" count="146" uniqueCount="41">
  <si>
    <t>Month</t>
  </si>
  <si>
    <t>Time Period</t>
  </si>
  <si>
    <t>March</t>
  </si>
  <si>
    <t>April</t>
  </si>
  <si>
    <t>May</t>
  </si>
  <si>
    <t>June</t>
  </si>
  <si>
    <t>July</t>
  </si>
  <si>
    <t>August</t>
  </si>
  <si>
    <t>Number of individuals</t>
  </si>
  <si>
    <t>Time period</t>
  </si>
  <si>
    <t>e</t>
  </si>
  <si>
    <t>Prb of sample</t>
  </si>
  <si>
    <t>E</t>
  </si>
  <si>
    <t>CPE=B/P</t>
  </si>
  <si>
    <t>Number of Fish</t>
  </si>
  <si>
    <t>Date</t>
  </si>
  <si>
    <t>P</t>
  </si>
  <si>
    <t>Total Catch</t>
  </si>
  <si>
    <t>WE Month</t>
  </si>
  <si>
    <t>WD Month</t>
  </si>
  <si>
    <t>D</t>
  </si>
  <si>
    <t>Week(end/day)</t>
  </si>
  <si>
    <t>Mean daily catch per month</t>
  </si>
  <si>
    <t>N</t>
  </si>
  <si>
    <t>variance</t>
  </si>
  <si>
    <t># of Fish</t>
  </si>
  <si>
    <t xml:space="preserve"> (v) WE </t>
  </si>
  <si>
    <t>(v) WD</t>
  </si>
  <si>
    <t>Mean Daily Catch WE</t>
  </si>
  <si>
    <t>Mean Daily Catch WD</t>
  </si>
  <si>
    <t>Bass</t>
  </si>
  <si>
    <t>Bream</t>
  </si>
  <si>
    <t>Crappie</t>
  </si>
  <si>
    <t>Any</t>
  </si>
  <si>
    <t xml:space="preserve">Bream </t>
  </si>
  <si>
    <t>Catfish</t>
  </si>
  <si>
    <t>0. 13846154</t>
  </si>
  <si>
    <t>Estimated # of Fish Harvested</t>
  </si>
  <si>
    <t>Mean Daily Catch</t>
  </si>
  <si>
    <t>W WE</t>
  </si>
  <si>
    <t>W 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</si>
</sst>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  <xf numFmtId="0" fontId="0" fillId="0" borderId="2" xfId="0" applyBorder="1"/>
    <xf numFmtId="0" fontId="0" fillId="0" borderId="0" xfId="0" applyBorder="1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leteCree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eteCreel"/>
    </sheetNames>
    <sheetDataSet>
      <sheetData sheetId="0">
        <row r="2">
          <cell r="L2">
            <v>2.44</v>
          </cell>
        </row>
        <row r="3">
          <cell r="L3">
            <v>1.22</v>
          </cell>
        </row>
        <row r="4">
          <cell r="L4">
            <v>1.44</v>
          </cell>
        </row>
        <row r="5">
          <cell r="L5">
            <v>1.1000000000000001</v>
          </cell>
        </row>
        <row r="6">
          <cell r="L6">
            <v>6.62</v>
          </cell>
        </row>
        <row r="7">
          <cell r="L7">
            <v>9.8699999999999992</v>
          </cell>
        </row>
        <row r="8">
          <cell r="L8">
            <v>0.15</v>
          </cell>
        </row>
        <row r="9">
          <cell r="L9">
            <v>0.97</v>
          </cell>
        </row>
        <row r="10">
          <cell r="L10">
            <v>9.3800000000000008</v>
          </cell>
        </row>
        <row r="11">
          <cell r="L11">
            <v>1.1200000000000001</v>
          </cell>
        </row>
        <row r="12">
          <cell r="L12">
            <v>0.33</v>
          </cell>
        </row>
        <row r="13">
          <cell r="L13">
            <v>0.38</v>
          </cell>
        </row>
        <row r="14">
          <cell r="L14">
            <v>3</v>
          </cell>
        </row>
        <row r="15">
          <cell r="L15">
            <v>2</v>
          </cell>
        </row>
        <row r="16">
          <cell r="L16">
            <v>1.24</v>
          </cell>
        </row>
        <row r="17">
          <cell r="L17">
            <v>9.3000000000000007</v>
          </cell>
        </row>
        <row r="18">
          <cell r="L18">
            <v>0.5</v>
          </cell>
        </row>
        <row r="19">
          <cell r="L19">
            <v>0.47</v>
          </cell>
        </row>
        <row r="20">
          <cell r="L20">
            <v>7.0000000000000007E-2</v>
          </cell>
        </row>
        <row r="21">
          <cell r="L21">
            <v>5.7</v>
          </cell>
        </row>
        <row r="22">
          <cell r="L22">
            <v>0.93</v>
          </cell>
        </row>
        <row r="23">
          <cell r="L23">
            <v>7.46</v>
          </cell>
        </row>
        <row r="24">
          <cell r="L24">
            <v>5.8</v>
          </cell>
        </row>
        <row r="25">
          <cell r="L25">
            <v>0.47</v>
          </cell>
        </row>
        <row r="26">
          <cell r="L26">
            <v>2</v>
          </cell>
        </row>
        <row r="27">
          <cell r="L27">
            <v>0.9</v>
          </cell>
        </row>
        <row r="28">
          <cell r="L28">
            <v>3.97</v>
          </cell>
        </row>
        <row r="33">
          <cell r="L33">
            <v>0.83</v>
          </cell>
        </row>
        <row r="34">
          <cell r="L34">
            <v>6.83</v>
          </cell>
        </row>
        <row r="35">
          <cell r="L35">
            <v>0.92</v>
          </cell>
        </row>
        <row r="36">
          <cell r="L36">
            <v>0.8</v>
          </cell>
        </row>
        <row r="40">
          <cell r="L40">
            <v>5.8</v>
          </cell>
        </row>
        <row r="41">
          <cell r="L41">
            <v>1.3</v>
          </cell>
        </row>
        <row r="42">
          <cell r="L42">
            <v>1.7</v>
          </cell>
        </row>
        <row r="43">
          <cell r="L43">
            <v>1.68</v>
          </cell>
        </row>
        <row r="44">
          <cell r="L44">
            <v>4.6500000000000004</v>
          </cell>
        </row>
        <row r="45">
          <cell r="L45">
            <v>13.3</v>
          </cell>
        </row>
        <row r="46">
          <cell r="L46">
            <v>0.45</v>
          </cell>
        </row>
        <row r="47">
          <cell r="L47">
            <v>1.5</v>
          </cell>
        </row>
        <row r="48">
          <cell r="L48">
            <v>0.9</v>
          </cell>
        </row>
        <row r="49">
          <cell r="L49">
            <v>1.03</v>
          </cell>
        </row>
        <row r="50">
          <cell r="L50">
            <v>1.18</v>
          </cell>
        </row>
        <row r="53">
          <cell r="L53">
            <v>2.65</v>
          </cell>
        </row>
        <row r="54">
          <cell r="L54">
            <v>5.28</v>
          </cell>
        </row>
        <row r="55">
          <cell r="L55">
            <v>0</v>
          </cell>
        </row>
        <row r="56">
          <cell r="L56">
            <v>3.86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B734B-7373-43C6-AD8D-96885B561331}">
  <dimension ref="A1:AC45"/>
  <sheetViews>
    <sheetView tabSelected="1" topLeftCell="X1" zoomScale="96" zoomScaleNormal="100" workbookViewId="0">
      <selection activeCell="AB2" sqref="AB2:AB7"/>
    </sheetView>
  </sheetViews>
  <sheetFormatPr defaultRowHeight="15" x14ac:dyDescent="0.25"/>
  <cols>
    <col min="1" max="1" width="7.140625" bestFit="1" customWidth="1"/>
    <col min="2" max="2" width="9.7109375" bestFit="1" customWidth="1"/>
    <col min="3" max="3" width="1.5703125" customWidth="1"/>
    <col min="4" max="4" width="3.28515625" customWidth="1"/>
    <col min="5" max="5" width="21" bestFit="1" customWidth="1"/>
    <col min="6" max="6" width="11.7109375" bestFit="1" customWidth="1"/>
    <col min="7" max="7" width="13.28515625" bestFit="1" customWidth="1"/>
    <col min="8" max="8" width="3" bestFit="1" customWidth="1"/>
    <col min="9" max="9" width="12" bestFit="1" customWidth="1"/>
    <col min="11" max="12" width="12" bestFit="1" customWidth="1"/>
    <col min="13" max="14" width="9.7109375" style="2" customWidth="1"/>
    <col min="15" max="15" width="15.140625" bestFit="1" customWidth="1"/>
    <col min="17" max="17" width="10" bestFit="1" customWidth="1"/>
    <col min="18" max="18" width="12" bestFit="1" customWidth="1"/>
    <col min="21" max="21" width="10" bestFit="1" customWidth="1"/>
    <col min="23" max="23" width="19.7109375" bestFit="1" customWidth="1"/>
    <col min="26" max="26" width="26" bestFit="1" customWidth="1"/>
    <col min="27" max="27" width="19.140625" bestFit="1" customWidth="1"/>
    <col min="28" max="28" width="10" bestFit="1" customWidth="1"/>
  </cols>
  <sheetData>
    <row r="1" spans="1:29" x14ac:dyDescent="0.25">
      <c r="A1" t="s">
        <v>0</v>
      </c>
      <c r="B1" t="s">
        <v>15</v>
      </c>
      <c r="C1" t="s">
        <v>14</v>
      </c>
      <c r="D1" t="s">
        <v>1</v>
      </c>
      <c r="E1" t="s">
        <v>8</v>
      </c>
      <c r="F1" t="s">
        <v>9</v>
      </c>
      <c r="G1" t="s">
        <v>11</v>
      </c>
      <c r="H1" t="s">
        <v>10</v>
      </c>
      <c r="I1" t="s">
        <v>12</v>
      </c>
      <c r="J1" t="s">
        <v>16</v>
      </c>
      <c r="K1" t="s">
        <v>13</v>
      </c>
      <c r="L1" t="s">
        <v>17</v>
      </c>
      <c r="N1" s="2" t="s">
        <v>38</v>
      </c>
      <c r="O1" t="s">
        <v>21</v>
      </c>
      <c r="P1" t="s">
        <v>18</v>
      </c>
      <c r="R1" t="s">
        <v>24</v>
      </c>
      <c r="S1" t="s">
        <v>19</v>
      </c>
      <c r="U1" t="s">
        <v>24</v>
      </c>
      <c r="V1" t="s">
        <v>23</v>
      </c>
      <c r="W1" t="s">
        <v>12</v>
      </c>
      <c r="X1" t="s">
        <v>39</v>
      </c>
      <c r="Y1" t="s">
        <v>40</v>
      </c>
      <c r="Z1" t="s">
        <v>22</v>
      </c>
      <c r="AA1" t="s">
        <v>25</v>
      </c>
      <c r="AB1" t="s">
        <v>24</v>
      </c>
    </row>
    <row r="2" spans="1:29" x14ac:dyDescent="0.25">
      <c r="A2" t="s">
        <v>2</v>
      </c>
      <c r="B2" s="1">
        <v>43525</v>
      </c>
      <c r="C2">
        <v>55</v>
      </c>
      <c r="D2">
        <v>3</v>
      </c>
      <c r="E2">
        <v>5</v>
      </c>
      <c r="F2">
        <v>1</v>
      </c>
      <c r="G2">
        <v>0.3</v>
      </c>
      <c r="H2">
        <f>E2*F2</f>
        <v>5</v>
      </c>
      <c r="I2">
        <f>H2/G2</f>
        <v>16.666666666666668</v>
      </c>
      <c r="J2">
        <f>SUM([1]CompleteCreel!$L$2:$L$10)</f>
        <v>33.19</v>
      </c>
      <c r="K2">
        <f>C2/J2</f>
        <v>1.6571256402530883</v>
      </c>
      <c r="L2">
        <f>K2*I2</f>
        <v>27.618760670884807</v>
      </c>
      <c r="M2" s="2">
        <v>4</v>
      </c>
      <c r="N2" s="2">
        <f>L2/M2</f>
        <v>6.9046901677212018</v>
      </c>
      <c r="O2" s="1" t="s">
        <v>20</v>
      </c>
      <c r="P2" t="s">
        <v>2</v>
      </c>
      <c r="Q2" s="12">
        <f>SUM(L3,L4,L5,L9)/4</f>
        <v>1.3933722950116392</v>
      </c>
      <c r="R2" s="12">
        <f>((SUM(L4^2,L5^2,L9^2,L3^2)-((SUM(L4,L5,L3,L9))^2)/4))/3</f>
        <v>3.0774161313307977</v>
      </c>
      <c r="S2" t="s">
        <v>2</v>
      </c>
      <c r="T2" s="12">
        <f>SUM(L2,L6,L7,L8)/4</f>
        <v>14.354034625408925</v>
      </c>
      <c r="U2" s="12">
        <f>((SUM(L2^2,L6^2,L7^2,L8^2)-((SUM(L2,L6,L7,L8)^2))/4))/3</f>
        <v>275.50880882479493</v>
      </c>
      <c r="V2">
        <v>31</v>
      </c>
      <c r="W2">
        <v>10</v>
      </c>
      <c r="X2" s="12">
        <f>W2/V2</f>
        <v>0.32258064516129031</v>
      </c>
      <c r="Y2" s="12">
        <f>(V2-W2)/V2</f>
        <v>0.67741935483870963</v>
      </c>
      <c r="Z2" s="12">
        <f>((10*Q2)/V2)+((21*T2)/V2)</f>
        <v>10.173175809151736</v>
      </c>
      <c r="AA2" s="12">
        <f>Z2*V2</f>
        <v>315.36845008370381</v>
      </c>
      <c r="AB2" s="12">
        <f>(((X2^2*R2)/4)+((Y2^2*U2)/4))-((X2*R2/31)+(Y2*U2/31))</f>
        <v>25.635090977713741</v>
      </c>
    </row>
    <row r="3" spans="1:29" x14ac:dyDescent="0.25">
      <c r="A3" t="s">
        <v>2</v>
      </c>
      <c r="B3" s="1">
        <v>43527</v>
      </c>
      <c r="C3">
        <v>2</v>
      </c>
      <c r="D3">
        <v>1</v>
      </c>
      <c r="E3">
        <v>1</v>
      </c>
      <c r="F3">
        <v>1</v>
      </c>
      <c r="G3">
        <v>0.3</v>
      </c>
      <c r="H3">
        <f>E3*F3</f>
        <v>1</v>
      </c>
      <c r="I3">
        <f>H3/G3</f>
        <v>3.3333333333333335</v>
      </c>
      <c r="J3">
        <f>SUM([1]CompleteCreel!$L$11:$L$13)</f>
        <v>1.83</v>
      </c>
      <c r="K3">
        <f t="shared" ref="K3:K41" si="0">C3/J3</f>
        <v>1.0928961748633879</v>
      </c>
      <c r="L3">
        <f>K3*I3</f>
        <v>3.6429872495446265</v>
      </c>
      <c r="M3" s="2">
        <v>4</v>
      </c>
      <c r="N3" s="2">
        <f t="shared" ref="N3:N41" si="1">L3/M3</f>
        <v>0.91074681238615662</v>
      </c>
      <c r="O3" s="1" t="s">
        <v>12</v>
      </c>
      <c r="P3" t="s">
        <v>3</v>
      </c>
      <c r="Q3" s="12">
        <f>SUM(L10,L11,L13,L14)/4</f>
        <v>2.4260067928190199</v>
      </c>
      <c r="R3" s="12">
        <f>((SUM(L14^2,L11^2,L13^2,L10^2)-((SUM(L14,L13,L11,L10))^2)/4)/3)</f>
        <v>23.542035835216108</v>
      </c>
      <c r="S3" t="s">
        <v>3</v>
      </c>
      <c r="T3" s="12">
        <f>SUM(N12,N15,N16)</f>
        <v>0.2901073397156948</v>
      </c>
      <c r="U3" s="12">
        <f>((SUM(L16^2,L12^2,L15^2)-((SUM(L16,L15,L12,))^2)/3)/2)</f>
        <v>0.25248680567075266</v>
      </c>
      <c r="V3">
        <v>30</v>
      </c>
      <c r="W3">
        <v>8</v>
      </c>
      <c r="X3" s="12">
        <f t="shared" ref="X3:X7" si="2">W3/V3</f>
        <v>0.26666666666666666</v>
      </c>
      <c r="Y3" s="12">
        <f t="shared" ref="Y3:Y7" si="3">(V3-W3)/V3</f>
        <v>0.73333333333333328</v>
      </c>
      <c r="Z3" s="12">
        <f>((8*Q3)/31)+((22*T3)/V3)</f>
        <v>0.83881165157276194</v>
      </c>
      <c r="AA3" s="12">
        <f>Z3*V3</f>
        <v>25.164349547182859</v>
      </c>
      <c r="AB3" s="12">
        <f>(((X3^2*R3)/4)+((Y3^2*U3)/3))-((X3*R3/31)+(Y3*U3/31))</f>
        <v>0.2553007368996637</v>
      </c>
    </row>
    <row r="4" spans="1:29" x14ac:dyDescent="0.25">
      <c r="A4" t="s">
        <v>2</v>
      </c>
      <c r="B4" s="1">
        <v>43540</v>
      </c>
      <c r="C4">
        <v>3</v>
      </c>
      <c r="D4">
        <v>2</v>
      </c>
      <c r="E4">
        <v>3</v>
      </c>
      <c r="F4">
        <v>1</v>
      </c>
      <c r="G4">
        <v>0.3</v>
      </c>
      <c r="H4">
        <f>E4*F4</f>
        <v>3</v>
      </c>
      <c r="I4">
        <f>H4/G4</f>
        <v>10</v>
      </c>
      <c r="J4">
        <f>SUM([1]CompleteCreel!$L$14:$L$17)</f>
        <v>15.540000000000001</v>
      </c>
      <c r="K4">
        <f t="shared" si="0"/>
        <v>0.19305019305019303</v>
      </c>
      <c r="L4">
        <f>K4*I4</f>
        <v>1.9305019305019302</v>
      </c>
      <c r="M4" s="2">
        <v>4</v>
      </c>
      <c r="N4" s="2">
        <f t="shared" si="1"/>
        <v>0.48262548262548255</v>
      </c>
      <c r="O4" s="1" t="s">
        <v>12</v>
      </c>
      <c r="P4" t="s">
        <v>4</v>
      </c>
      <c r="Q4" s="12">
        <f>SUM(L19,L20,L23)/3</f>
        <v>12.944983818770226</v>
      </c>
      <c r="R4" s="12">
        <f>((SUM(L20^2,L23^2,L19^2)-((SUM(L23,L20,L19))^2)/3)/2)</f>
        <v>502.7178182046689</v>
      </c>
      <c r="S4" t="s">
        <v>4</v>
      </c>
      <c r="T4" s="12">
        <f>SUM(N17,N18,N21,N22)</f>
        <v>8.5649461145774239</v>
      </c>
      <c r="U4" s="12">
        <f>((SUM(L18^2,L21^2,L17^2,L23^2)-((SUM(L21,L18,L17,L23))^2)/4)/3)</f>
        <v>226.20772932612476</v>
      </c>
      <c r="V4">
        <v>31</v>
      </c>
      <c r="W4">
        <v>8</v>
      </c>
      <c r="X4" s="12">
        <f t="shared" si="2"/>
        <v>0.25806451612903225</v>
      </c>
      <c r="Y4" s="12">
        <f t="shared" si="3"/>
        <v>0.74193548387096775</v>
      </c>
      <c r="Z4" s="12">
        <f>((8*Q4)/31)+((22*T4)/V4)</f>
        <v>9.4189898409956498</v>
      </c>
      <c r="AA4" s="12">
        <f>Z4*V4</f>
        <v>291.98868507086513</v>
      </c>
      <c r="AB4" s="12">
        <f>(((X4^2*R4)/3)+((Y4^2*U4)/4))-((X4*R4/31)+(Y4*U4/31))</f>
        <v>32.691049606251866</v>
      </c>
    </row>
    <row r="5" spans="1:29" x14ac:dyDescent="0.25">
      <c r="A5" t="s">
        <v>2</v>
      </c>
      <c r="B5" s="1">
        <v>43541</v>
      </c>
      <c r="C5">
        <v>0</v>
      </c>
      <c r="D5">
        <v>1</v>
      </c>
      <c r="E5">
        <v>5</v>
      </c>
      <c r="F5">
        <v>1</v>
      </c>
      <c r="G5">
        <v>0.3</v>
      </c>
      <c r="H5">
        <f>E5*F5</f>
        <v>5</v>
      </c>
      <c r="I5">
        <f>H5/G5</f>
        <v>16.666666666666668</v>
      </c>
      <c r="J5">
        <f>SUM([1]CompleteCreel!$L$18:$L$19)</f>
        <v>0.97</v>
      </c>
      <c r="K5">
        <f t="shared" si="0"/>
        <v>0</v>
      </c>
      <c r="L5">
        <f>K5*I5</f>
        <v>0</v>
      </c>
      <c r="M5" s="2">
        <v>4</v>
      </c>
      <c r="N5" s="2">
        <f t="shared" si="1"/>
        <v>0</v>
      </c>
      <c r="O5" s="1" t="s">
        <v>12</v>
      </c>
      <c r="P5" t="s">
        <v>5</v>
      </c>
      <c r="Q5" s="12">
        <f>SUM(L24,L25,L29)/3</f>
        <v>188.29169524647784</v>
      </c>
      <c r="R5" s="12">
        <f>((SUM(L29^2,L24^2,L25^2)-((SUM(L24,L25,L29))^2)/3)/2)</f>
        <v>22375.584634111576</v>
      </c>
      <c r="S5" t="s">
        <v>5</v>
      </c>
      <c r="T5" s="12">
        <f>SUM(N26,N27,N28)</f>
        <v>125.12820512820512</v>
      </c>
      <c r="U5" s="12">
        <f>((SUM(L27^2,L28^2,L26^2)-((SUM(L28,L27,L26))^2)/3)/2)</f>
        <v>46971.203155818526</v>
      </c>
      <c r="V5">
        <v>30</v>
      </c>
      <c r="W5">
        <v>10</v>
      </c>
      <c r="X5" s="12">
        <f t="shared" si="2"/>
        <v>0.33333333333333331</v>
      </c>
      <c r="Y5" s="12">
        <f t="shared" si="3"/>
        <v>0.66666666666666663</v>
      </c>
      <c r="Z5" s="12">
        <f>((10*Q5)/31)+((20*T5)/V5)</f>
        <v>144.1580599499253</v>
      </c>
      <c r="AA5" s="12">
        <f>Z5*V5</f>
        <v>4324.7417984977592</v>
      </c>
      <c r="AB5" s="12">
        <f>(((X5^2*R5)/3)+((Y5^2*U5)/3))-((X5*R5/31)+(Y5*U5/31))</f>
        <v>6536.6910352057566</v>
      </c>
    </row>
    <row r="6" spans="1:29" x14ac:dyDescent="0.25">
      <c r="A6" t="s">
        <v>2</v>
      </c>
      <c r="B6" s="1">
        <v>43546</v>
      </c>
      <c r="C6">
        <v>0</v>
      </c>
      <c r="D6">
        <v>3</v>
      </c>
      <c r="E6">
        <v>3</v>
      </c>
      <c r="F6">
        <v>1</v>
      </c>
      <c r="G6">
        <v>0.3</v>
      </c>
      <c r="H6">
        <f>E6*F6</f>
        <v>3</v>
      </c>
      <c r="I6">
        <f>H6/G6</f>
        <v>10</v>
      </c>
      <c r="J6">
        <f>SUM([1]CompleteCreel!$L$20:$L$21)</f>
        <v>5.7700000000000005</v>
      </c>
      <c r="K6">
        <f t="shared" si="0"/>
        <v>0</v>
      </c>
      <c r="L6">
        <f>K6*I6</f>
        <v>0</v>
      </c>
      <c r="M6" s="2">
        <v>4</v>
      </c>
      <c r="N6" s="2">
        <f t="shared" si="1"/>
        <v>0</v>
      </c>
      <c r="O6" s="1" t="s">
        <v>20</v>
      </c>
      <c r="P6" t="s">
        <v>6</v>
      </c>
      <c r="Q6" s="12">
        <v>0</v>
      </c>
      <c r="R6" s="12">
        <f>((SUM(L30^2,L33^2,L32^2)-((SUM(L32,L33,L30))^2)/3)/2)</f>
        <v>0</v>
      </c>
      <c r="S6" t="s">
        <v>6</v>
      </c>
      <c r="T6" s="12">
        <v>0</v>
      </c>
      <c r="U6" s="12">
        <f>(SUM(K31^2,K34^2)-((SUM(K34,K31))^2)/2)/1</f>
        <v>0.11483224285233085</v>
      </c>
      <c r="V6">
        <v>31</v>
      </c>
      <c r="W6">
        <v>8</v>
      </c>
      <c r="X6" s="12">
        <f t="shared" si="2"/>
        <v>0.25806451612903225</v>
      </c>
      <c r="Y6" s="12">
        <f t="shared" si="3"/>
        <v>0.74193548387096775</v>
      </c>
      <c r="Z6" s="12">
        <f>((8*Q6)/31)+((23*T6)/V6)</f>
        <v>0</v>
      </c>
      <c r="AA6" s="12">
        <f>Z6*V6</f>
        <v>0</v>
      </c>
      <c r="AB6" s="12">
        <f>(((X6^2*R6)/3)+((Y6^2*U6)/2))-((X6*R6/31)+(Y6*U6/31))</f>
        <v>2.8857426273504579E-2</v>
      </c>
    </row>
    <row r="7" spans="1:29" x14ac:dyDescent="0.25">
      <c r="A7" t="s">
        <v>2</v>
      </c>
      <c r="B7" s="1">
        <v>43549</v>
      </c>
      <c r="C7">
        <v>25</v>
      </c>
      <c r="D7">
        <v>2</v>
      </c>
      <c r="E7">
        <v>3</v>
      </c>
      <c r="F7">
        <v>1</v>
      </c>
      <c r="G7">
        <v>0.3</v>
      </c>
      <c r="H7">
        <f>E7*F7</f>
        <v>3</v>
      </c>
      <c r="I7">
        <f>H7/G7</f>
        <v>10</v>
      </c>
      <c r="J7">
        <f>SUM([1]CompleteCreel!$L$22:$L$23)</f>
        <v>8.39</v>
      </c>
      <c r="K7">
        <f t="shared" si="0"/>
        <v>2.9797377830750893</v>
      </c>
      <c r="L7">
        <f>K7*I7</f>
        <v>29.797377830750893</v>
      </c>
      <c r="M7" s="2">
        <v>4</v>
      </c>
      <c r="N7" s="2">
        <f t="shared" si="1"/>
        <v>7.4493444576877232</v>
      </c>
      <c r="O7" s="1" t="s">
        <v>20</v>
      </c>
      <c r="P7" t="s">
        <v>7</v>
      </c>
      <c r="Q7" s="12">
        <v>0</v>
      </c>
      <c r="R7" s="12">
        <f>((SUM(L36^2,L39^2,L38^2, L40^2)-((SUM(L38,L39,L36,L40))^2)/4)/3)</f>
        <v>0</v>
      </c>
      <c r="S7" t="s">
        <v>7</v>
      </c>
      <c r="T7" s="12">
        <v>7.2610604525498159</v>
      </c>
      <c r="U7" s="12">
        <f>((SUM(L35^2,L41^2,L37^2)-((SUM(L37,L41,L35))^2)/3)/2)</f>
        <v>1773.5687892179685</v>
      </c>
      <c r="V7" s="2">
        <v>31</v>
      </c>
      <c r="W7" s="2">
        <v>9</v>
      </c>
      <c r="X7" s="12">
        <f t="shared" si="2"/>
        <v>0.29032258064516131</v>
      </c>
      <c r="Y7" s="12">
        <f t="shared" si="3"/>
        <v>0.70967741935483875</v>
      </c>
      <c r="Z7" s="12">
        <f>((9*Q7)/31)+((22*T7)/V7)</f>
        <v>5.1530106437450307</v>
      </c>
      <c r="AA7" s="12">
        <f>Z7*V7</f>
        <v>159.74332995609595</v>
      </c>
      <c r="AB7" s="12">
        <f>(((X7^2*R7)/4)+((Y7^2*U7)/3))-((X7*R7/31)+(Y7*U7/31))</f>
        <v>257.1459430777353</v>
      </c>
    </row>
    <row r="8" spans="1:29" x14ac:dyDescent="0.25">
      <c r="A8" t="s">
        <v>2</v>
      </c>
      <c r="B8" s="1">
        <v>43553</v>
      </c>
      <c r="C8">
        <v>0</v>
      </c>
      <c r="D8">
        <v>3</v>
      </c>
      <c r="E8">
        <v>4</v>
      </c>
      <c r="F8">
        <v>1</v>
      </c>
      <c r="G8">
        <v>0.3</v>
      </c>
      <c r="H8">
        <f>E8*F8</f>
        <v>4</v>
      </c>
      <c r="I8">
        <f>H8/G8</f>
        <v>13.333333333333334</v>
      </c>
      <c r="J8">
        <f>SUM([1]CompleteCreel!$L$24:$L$25)</f>
        <v>6.27</v>
      </c>
      <c r="K8">
        <f t="shared" si="0"/>
        <v>0</v>
      </c>
      <c r="L8">
        <f>K8*I8</f>
        <v>0</v>
      </c>
      <c r="M8" s="2">
        <v>4</v>
      </c>
      <c r="N8" s="2">
        <f t="shared" si="1"/>
        <v>0</v>
      </c>
      <c r="O8" s="1" t="s">
        <v>20</v>
      </c>
    </row>
    <row r="9" spans="1:29" x14ac:dyDescent="0.25">
      <c r="A9" t="s">
        <v>2</v>
      </c>
      <c r="B9" s="1">
        <v>43555</v>
      </c>
      <c r="C9">
        <v>0</v>
      </c>
      <c r="D9">
        <v>1</v>
      </c>
      <c r="E9">
        <v>0</v>
      </c>
      <c r="F9">
        <v>1</v>
      </c>
      <c r="G9">
        <v>0.3</v>
      </c>
      <c r="H9">
        <f>E9*F9</f>
        <v>0</v>
      </c>
      <c r="I9">
        <f>H9/G9</f>
        <v>0</v>
      </c>
      <c r="J9">
        <v>0</v>
      </c>
      <c r="K9">
        <v>0</v>
      </c>
      <c r="L9">
        <f>K9*I9</f>
        <v>0</v>
      </c>
      <c r="M9" s="2">
        <v>4</v>
      </c>
      <c r="N9" s="2">
        <f t="shared" si="1"/>
        <v>0</v>
      </c>
      <c r="O9" s="1" t="s">
        <v>12</v>
      </c>
      <c r="Z9" s="6"/>
    </row>
    <row r="10" spans="1:29" s="3" customFormat="1" x14ac:dyDescent="0.25">
      <c r="A10" s="3" t="s">
        <v>3</v>
      </c>
      <c r="B10" s="4">
        <v>43561</v>
      </c>
      <c r="C10" s="3">
        <v>5</v>
      </c>
      <c r="D10" s="3">
        <v>3</v>
      </c>
      <c r="E10" s="3">
        <v>4</v>
      </c>
      <c r="F10" s="3">
        <v>1</v>
      </c>
      <c r="G10" s="3">
        <v>0.3</v>
      </c>
      <c r="H10" s="3">
        <f>E10*F10</f>
        <v>4</v>
      </c>
      <c r="I10" s="3">
        <f>H10/G10</f>
        <v>13.333333333333334</v>
      </c>
      <c r="J10">
        <f>SUM([1]CompleteCreel!$L$26:$L$28)</f>
        <v>6.87</v>
      </c>
      <c r="K10">
        <f t="shared" si="0"/>
        <v>0.72780203784570596</v>
      </c>
      <c r="L10" s="3">
        <f>K10*I10</f>
        <v>9.7040271712760795</v>
      </c>
      <c r="M10" s="5">
        <v>4</v>
      </c>
      <c r="N10" s="5">
        <f t="shared" si="1"/>
        <v>2.4260067928190199</v>
      </c>
      <c r="O10" s="4" t="s">
        <v>12</v>
      </c>
      <c r="R10" s="3">
        <v>4</v>
      </c>
      <c r="S10" s="3">
        <v>4</v>
      </c>
      <c r="V10" s="7"/>
      <c r="W10" s="7"/>
      <c r="X10" s="7"/>
      <c r="Y10" s="7"/>
      <c r="Z10"/>
      <c r="AA10"/>
    </row>
    <row r="11" spans="1:29" x14ac:dyDescent="0.25">
      <c r="A11" t="s">
        <v>3</v>
      </c>
      <c r="B11" s="1">
        <v>43562</v>
      </c>
      <c r="C11">
        <v>0</v>
      </c>
      <c r="D11">
        <v>3</v>
      </c>
      <c r="E11">
        <v>0</v>
      </c>
      <c r="F11">
        <v>1</v>
      </c>
      <c r="G11">
        <v>0.3</v>
      </c>
      <c r="H11">
        <f>E11*F11</f>
        <v>0</v>
      </c>
      <c r="I11">
        <f>H11/G11</f>
        <v>0</v>
      </c>
      <c r="J11">
        <v>0</v>
      </c>
      <c r="K11">
        <v>0</v>
      </c>
      <c r="L11">
        <f>K11*I11</f>
        <v>0</v>
      </c>
      <c r="M11" s="2">
        <v>4</v>
      </c>
      <c r="N11" s="2">
        <f t="shared" si="1"/>
        <v>0</v>
      </c>
      <c r="O11" s="1" t="s">
        <v>12</v>
      </c>
      <c r="R11">
        <v>4</v>
      </c>
      <c r="S11">
        <v>3</v>
      </c>
    </row>
    <row r="12" spans="1:29" x14ac:dyDescent="0.25">
      <c r="A12" t="s">
        <v>3</v>
      </c>
      <c r="B12" s="1">
        <v>43567</v>
      </c>
      <c r="C12">
        <v>0</v>
      </c>
      <c r="D12">
        <v>3</v>
      </c>
      <c r="E12">
        <v>1</v>
      </c>
      <c r="F12">
        <v>1</v>
      </c>
      <c r="G12">
        <v>0.3</v>
      </c>
      <c r="H12">
        <f>E12*F12</f>
        <v>1</v>
      </c>
      <c r="I12">
        <f>H12/G12</f>
        <v>3.3333333333333335</v>
      </c>
      <c r="J12">
        <v>0</v>
      </c>
      <c r="K12">
        <v>0</v>
      </c>
      <c r="L12">
        <f>K12*I12</f>
        <v>0</v>
      </c>
      <c r="M12" s="2">
        <v>3</v>
      </c>
      <c r="N12" s="2">
        <f t="shared" si="1"/>
        <v>0</v>
      </c>
      <c r="O12" s="1" t="s">
        <v>20</v>
      </c>
      <c r="R12">
        <v>3</v>
      </c>
      <c r="S12">
        <v>4</v>
      </c>
      <c r="V12" t="s">
        <v>0</v>
      </c>
      <c r="W12" t="s">
        <v>28</v>
      </c>
      <c r="X12" t="s">
        <v>26</v>
      </c>
      <c r="Y12" t="s">
        <v>29</v>
      </c>
      <c r="Z12" t="s">
        <v>27</v>
      </c>
      <c r="AA12" t="s">
        <v>22</v>
      </c>
      <c r="AB12" t="s">
        <v>37</v>
      </c>
      <c r="AC12" t="s">
        <v>24</v>
      </c>
    </row>
    <row r="13" spans="1:29" x14ac:dyDescent="0.25">
      <c r="A13" t="s">
        <v>3</v>
      </c>
      <c r="B13" s="1">
        <v>43575</v>
      </c>
      <c r="C13">
        <v>0</v>
      </c>
      <c r="D13">
        <v>1</v>
      </c>
      <c r="E13">
        <v>1</v>
      </c>
      <c r="F13">
        <v>1</v>
      </c>
      <c r="G13">
        <v>0.3</v>
      </c>
      <c r="H13">
        <f>E13*F13</f>
        <v>1</v>
      </c>
      <c r="I13">
        <f>H13/G13</f>
        <v>3.3333333333333335</v>
      </c>
      <c r="J13">
        <v>1.27</v>
      </c>
      <c r="K13">
        <f t="shared" si="0"/>
        <v>0</v>
      </c>
      <c r="L13">
        <f>K13*I13</f>
        <v>0</v>
      </c>
      <c r="M13" s="2">
        <v>4</v>
      </c>
      <c r="N13" s="2">
        <f t="shared" si="1"/>
        <v>0</v>
      </c>
      <c r="O13" s="1" t="s">
        <v>12</v>
      </c>
      <c r="R13">
        <v>3</v>
      </c>
      <c r="S13">
        <v>3</v>
      </c>
      <c r="V13" t="s">
        <v>2</v>
      </c>
      <c r="W13">
        <v>1.9423836762100906</v>
      </c>
      <c r="X13">
        <v>-1.0998069172798064</v>
      </c>
      <c r="Y13">
        <v>9.1504530281354306</v>
      </c>
      <c r="Z13">
        <v>-23.664775226161581</v>
      </c>
      <c r="AA13">
        <v>6.8252693662240302</v>
      </c>
      <c r="AB13">
        <v>211.58335035294493</v>
      </c>
      <c r="AC13">
        <v>-0.18352104378283607</v>
      </c>
    </row>
    <row r="14" spans="1:29" x14ac:dyDescent="0.25">
      <c r="A14" t="s">
        <v>3</v>
      </c>
      <c r="B14" s="1">
        <v>43576</v>
      </c>
      <c r="C14">
        <v>0</v>
      </c>
      <c r="D14">
        <v>2</v>
      </c>
      <c r="E14">
        <v>1</v>
      </c>
      <c r="F14">
        <v>1</v>
      </c>
      <c r="G14">
        <v>0.3</v>
      </c>
      <c r="H14">
        <f>E14*F14</f>
        <v>1</v>
      </c>
      <c r="I14">
        <f>H14/G14</f>
        <v>3.3333333333333335</v>
      </c>
      <c r="J14">
        <v>3.03</v>
      </c>
      <c r="K14">
        <f t="shared" si="0"/>
        <v>0</v>
      </c>
      <c r="L14">
        <f>K14*I14</f>
        <v>0</v>
      </c>
      <c r="M14" s="2">
        <v>4</v>
      </c>
      <c r="N14" s="2">
        <f t="shared" si="1"/>
        <v>0</v>
      </c>
      <c r="O14" s="1" t="s">
        <v>12</v>
      </c>
      <c r="R14">
        <v>3</v>
      </c>
      <c r="S14">
        <v>2</v>
      </c>
      <c r="V14" t="s">
        <v>3</v>
      </c>
      <c r="W14">
        <v>0.60650169820475497</v>
      </c>
      <c r="X14">
        <v>-9.1961077481312922E-2</v>
      </c>
      <c r="Y14">
        <v>0.1450536698578474</v>
      </c>
      <c r="Z14">
        <v>-7.0135223797431296E-3</v>
      </c>
      <c r="AA14">
        <v>0.26288925850773454</v>
      </c>
      <c r="AB14">
        <v>7.8866777552320357</v>
      </c>
      <c r="AC14">
        <v>0.75195064484810858</v>
      </c>
    </row>
    <row r="15" spans="1:29" x14ac:dyDescent="0.25">
      <c r="A15" t="s">
        <v>3</v>
      </c>
      <c r="B15" s="1">
        <v>43581</v>
      </c>
      <c r="C15">
        <v>0</v>
      </c>
      <c r="D15">
        <v>3</v>
      </c>
      <c r="E15">
        <v>0</v>
      </c>
      <c r="F15">
        <v>1</v>
      </c>
      <c r="G15">
        <v>0.3</v>
      </c>
      <c r="H15">
        <f>E15*F15</f>
        <v>0</v>
      </c>
      <c r="I15">
        <f>H15/G15</f>
        <v>0</v>
      </c>
      <c r="J15">
        <v>0</v>
      </c>
      <c r="K15">
        <v>0</v>
      </c>
      <c r="L15">
        <f>K15*I15</f>
        <v>0</v>
      </c>
      <c r="M15" s="2">
        <v>3</v>
      </c>
      <c r="N15" s="2">
        <f t="shared" si="1"/>
        <v>0</v>
      </c>
      <c r="O15" s="1" t="s">
        <v>20</v>
      </c>
      <c r="R15">
        <v>4</v>
      </c>
      <c r="S15">
        <v>3</v>
      </c>
      <c r="V15" t="s">
        <v>4</v>
      </c>
      <c r="W15">
        <v>12.944983818770226</v>
      </c>
      <c r="X15">
        <v>-55.857535356074322</v>
      </c>
      <c r="Y15">
        <v>10.507514166050752</v>
      </c>
      <c r="Z15">
        <v>-85.543291573702788</v>
      </c>
      <c r="AA15">
        <v>10.797586522686398</v>
      </c>
      <c r="AB15">
        <v>334.72518220327834</v>
      </c>
      <c r="AC15">
        <v>58.494786275942495</v>
      </c>
    </row>
    <row r="16" spans="1:29" x14ac:dyDescent="0.25">
      <c r="A16" t="s">
        <v>3</v>
      </c>
      <c r="B16" s="1">
        <v>43584</v>
      </c>
      <c r="C16">
        <v>1</v>
      </c>
      <c r="D16">
        <v>3</v>
      </c>
      <c r="E16">
        <v>2</v>
      </c>
      <c r="F16">
        <v>1</v>
      </c>
      <c r="G16">
        <v>0.3</v>
      </c>
      <c r="H16">
        <f>E16*F16</f>
        <v>2</v>
      </c>
      <c r="I16">
        <f>H16/G16</f>
        <v>6.666666666666667</v>
      </c>
      <c r="J16">
        <f>SUM([1]CompleteCreel!$L$33:$L$34)</f>
        <v>7.66</v>
      </c>
      <c r="K16">
        <f t="shared" si="0"/>
        <v>0.13054830287206265</v>
      </c>
      <c r="L16">
        <f>K16*I16</f>
        <v>0.8703220191470844</v>
      </c>
      <c r="M16" s="2">
        <v>3</v>
      </c>
      <c r="N16" s="2">
        <f t="shared" si="1"/>
        <v>0.2901073397156948</v>
      </c>
      <c r="O16" s="1" t="s">
        <v>20</v>
      </c>
      <c r="V16" t="s">
        <v>5</v>
      </c>
      <c r="W16">
        <v>63.636493357469988</v>
      </c>
      <c r="X16">
        <v>-1744.7012722838292</v>
      </c>
      <c r="Y16" s="6">
        <v>145.98290575831689</v>
      </c>
      <c r="Z16">
        <v>-7103.6695912138775</v>
      </c>
      <c r="AA16">
        <v>117.84983825526609</v>
      </c>
      <c r="AB16">
        <v>3535.4951476579827</v>
      </c>
      <c r="AC16">
        <v>-70.625015927652981</v>
      </c>
    </row>
    <row r="17" spans="1:29" s="3" customFormat="1" x14ac:dyDescent="0.25">
      <c r="A17" s="3" t="s">
        <v>4</v>
      </c>
      <c r="B17" s="4">
        <v>43593</v>
      </c>
      <c r="C17" s="3">
        <v>16</v>
      </c>
      <c r="D17" s="3">
        <v>1</v>
      </c>
      <c r="E17" s="3">
        <v>1</v>
      </c>
      <c r="F17" s="3">
        <v>1</v>
      </c>
      <c r="G17" s="3">
        <v>0.3</v>
      </c>
      <c r="H17" s="3">
        <f>E17*F17</f>
        <v>1</v>
      </c>
      <c r="I17" s="3">
        <f>H17/G17</f>
        <v>3.3333333333333335</v>
      </c>
      <c r="J17">
        <f>SUM([1]CompleteCreel!$L$35:$L$36)</f>
        <v>1.7200000000000002</v>
      </c>
      <c r="K17">
        <f t="shared" si="0"/>
        <v>9.3023255813953476</v>
      </c>
      <c r="L17" s="3">
        <f>K17*I17</f>
        <v>31.007751937984494</v>
      </c>
      <c r="M17" s="5">
        <v>4</v>
      </c>
      <c r="N17" s="5">
        <f t="shared" si="1"/>
        <v>7.7519379844961236</v>
      </c>
      <c r="O17" s="4" t="s">
        <v>20</v>
      </c>
      <c r="V17" s="7" t="s">
        <v>6</v>
      </c>
      <c r="W17" s="7">
        <v>0</v>
      </c>
      <c r="X17" s="7">
        <v>0</v>
      </c>
      <c r="Y17">
        <v>0</v>
      </c>
      <c r="Z17">
        <v>0</v>
      </c>
      <c r="AA17" s="3">
        <v>0</v>
      </c>
      <c r="AB17" s="3">
        <v>0</v>
      </c>
      <c r="AC17" s="3">
        <v>0.14630037848236679</v>
      </c>
    </row>
    <row r="18" spans="1:29" x14ac:dyDescent="0.25">
      <c r="A18" t="s">
        <v>4</v>
      </c>
      <c r="B18" s="1">
        <v>43595</v>
      </c>
      <c r="C18">
        <v>1</v>
      </c>
      <c r="D18">
        <v>1</v>
      </c>
      <c r="E18">
        <v>2</v>
      </c>
      <c r="F18">
        <v>1</v>
      </c>
      <c r="G18">
        <v>0.3</v>
      </c>
      <c r="H18">
        <f>E18*F18</f>
        <v>2</v>
      </c>
      <c r="I18">
        <f>H18/G18</f>
        <v>6.666666666666667</v>
      </c>
      <c r="J18">
        <v>2.0499999999999998</v>
      </c>
      <c r="K18">
        <f t="shared" si="0"/>
        <v>0.48780487804878053</v>
      </c>
      <c r="L18">
        <f>K18*I18</f>
        <v>3.2520325203252036</v>
      </c>
      <c r="M18" s="2">
        <v>4</v>
      </c>
      <c r="N18" s="2">
        <f t="shared" si="1"/>
        <v>0.81300813008130091</v>
      </c>
      <c r="O18" s="1" t="s">
        <v>20</v>
      </c>
      <c r="V18" t="s">
        <v>7</v>
      </c>
      <c r="W18">
        <v>0</v>
      </c>
      <c r="X18">
        <v>0</v>
      </c>
      <c r="Y18">
        <v>7.2610604525498159</v>
      </c>
      <c r="Z18">
        <v>-17.574332965194312</v>
      </c>
      <c r="AA18">
        <v>5.1530106437450307</v>
      </c>
      <c r="AB18">
        <v>159.74332995609595</v>
      </c>
      <c r="AC18">
        <v>-0.1915838289650042</v>
      </c>
    </row>
    <row r="19" spans="1:29" x14ac:dyDescent="0.25">
      <c r="A19" t="s">
        <v>4</v>
      </c>
      <c r="B19" s="1">
        <v>43596</v>
      </c>
      <c r="C19">
        <v>0</v>
      </c>
      <c r="D19">
        <v>3</v>
      </c>
      <c r="E19">
        <v>3</v>
      </c>
      <c r="F19">
        <v>1</v>
      </c>
      <c r="G19">
        <v>0.3</v>
      </c>
      <c r="H19">
        <f>E19*F19</f>
        <v>3</v>
      </c>
      <c r="I19">
        <f>H19/G19</f>
        <v>10</v>
      </c>
      <c r="J19">
        <v>0</v>
      </c>
      <c r="K19">
        <v>0</v>
      </c>
      <c r="L19">
        <f>K19*I19</f>
        <v>0</v>
      </c>
      <c r="M19" s="2">
        <v>3</v>
      </c>
      <c r="N19" s="2">
        <f t="shared" si="1"/>
        <v>0</v>
      </c>
      <c r="O19" s="1" t="s">
        <v>12</v>
      </c>
    </row>
    <row r="20" spans="1:29" x14ac:dyDescent="0.25">
      <c r="A20" t="s">
        <v>4</v>
      </c>
      <c r="B20" s="1">
        <v>43604</v>
      </c>
      <c r="C20">
        <v>4</v>
      </c>
      <c r="D20">
        <v>2</v>
      </c>
      <c r="E20">
        <v>3</v>
      </c>
      <c r="F20">
        <v>1</v>
      </c>
      <c r="G20">
        <v>0.3</v>
      </c>
      <c r="H20">
        <f>E20*F20</f>
        <v>3</v>
      </c>
      <c r="I20">
        <f>H20/G20</f>
        <v>10</v>
      </c>
      <c r="J20">
        <v>1.03</v>
      </c>
      <c r="K20">
        <f t="shared" si="0"/>
        <v>3.883495145631068</v>
      </c>
      <c r="L20">
        <f>K20*I20</f>
        <v>38.834951456310677</v>
      </c>
      <c r="M20" s="2">
        <v>3</v>
      </c>
      <c r="N20" s="2">
        <f t="shared" si="1"/>
        <v>12.944983818770226</v>
      </c>
      <c r="O20" s="1" t="s">
        <v>12</v>
      </c>
    </row>
    <row r="21" spans="1:29" x14ac:dyDescent="0.25">
      <c r="A21" t="s">
        <v>4</v>
      </c>
      <c r="B21" s="1">
        <v>43606</v>
      </c>
      <c r="C21">
        <v>0</v>
      </c>
      <c r="D21">
        <v>2</v>
      </c>
      <c r="E21">
        <v>1</v>
      </c>
      <c r="F21">
        <v>1</v>
      </c>
      <c r="G21">
        <v>0.3</v>
      </c>
      <c r="H21">
        <f>E21*F21</f>
        <v>1</v>
      </c>
      <c r="I21">
        <f>H21/G21</f>
        <v>3.3333333333333335</v>
      </c>
      <c r="J21">
        <v>0</v>
      </c>
      <c r="K21">
        <v>0</v>
      </c>
      <c r="L21">
        <f>K21*I21</f>
        <v>0</v>
      </c>
      <c r="M21" s="2">
        <v>4</v>
      </c>
      <c r="N21" s="2">
        <f t="shared" si="1"/>
        <v>0</v>
      </c>
      <c r="O21" s="1" t="s">
        <v>20</v>
      </c>
    </row>
    <row r="22" spans="1:29" x14ac:dyDescent="0.25">
      <c r="A22" t="s">
        <v>4</v>
      </c>
      <c r="B22" s="1">
        <v>43608</v>
      </c>
      <c r="C22">
        <v>0</v>
      </c>
      <c r="D22">
        <v>3</v>
      </c>
      <c r="E22">
        <v>3</v>
      </c>
      <c r="F22">
        <v>1</v>
      </c>
      <c r="G22">
        <v>0.3</v>
      </c>
      <c r="H22">
        <f>E22*F22</f>
        <v>3</v>
      </c>
      <c r="I22">
        <f>H22/G22</f>
        <v>10</v>
      </c>
      <c r="J22">
        <v>0</v>
      </c>
      <c r="K22">
        <v>0</v>
      </c>
      <c r="L22">
        <f>K22*I22</f>
        <v>0</v>
      </c>
      <c r="M22" s="2">
        <v>4</v>
      </c>
      <c r="N22" s="2">
        <f t="shared" si="1"/>
        <v>0</v>
      </c>
      <c r="O22" s="1" t="s">
        <v>20</v>
      </c>
    </row>
    <row r="23" spans="1:29" x14ac:dyDescent="0.25">
      <c r="A23" t="s">
        <v>4</v>
      </c>
      <c r="B23" s="1">
        <v>43610</v>
      </c>
      <c r="C23">
        <v>0</v>
      </c>
      <c r="D23">
        <v>3</v>
      </c>
      <c r="E23">
        <v>2</v>
      </c>
      <c r="F23">
        <v>1</v>
      </c>
      <c r="G23">
        <v>0.3</v>
      </c>
      <c r="H23">
        <f>E23*F23</f>
        <v>2</v>
      </c>
      <c r="I23">
        <f>H23/G23</f>
        <v>6.666666666666667</v>
      </c>
      <c r="J23">
        <v>0</v>
      </c>
      <c r="K23">
        <v>0</v>
      </c>
      <c r="L23">
        <f>K23*I23</f>
        <v>0</v>
      </c>
      <c r="M23" s="2">
        <v>3</v>
      </c>
      <c r="N23" s="2">
        <f t="shared" si="1"/>
        <v>0</v>
      </c>
      <c r="O23" s="1" t="s">
        <v>12</v>
      </c>
      <c r="Z23" s="6"/>
    </row>
    <row r="24" spans="1:29" s="3" customFormat="1" x14ac:dyDescent="0.25">
      <c r="A24" s="3" t="s">
        <v>5</v>
      </c>
      <c r="B24" s="4">
        <v>43631</v>
      </c>
      <c r="C24" s="3">
        <v>28</v>
      </c>
      <c r="D24" s="3">
        <v>2</v>
      </c>
      <c r="E24" s="3">
        <v>11</v>
      </c>
      <c r="F24" s="3">
        <v>6</v>
      </c>
      <c r="G24" s="3">
        <v>0.5</v>
      </c>
      <c r="H24" s="3">
        <f>E24*F24</f>
        <v>66</v>
      </c>
      <c r="I24" s="3">
        <f>H24/G24</f>
        <v>132</v>
      </c>
      <c r="J24">
        <f>SUM([1]CompleteCreel!$L$40:$L$43)</f>
        <v>10.479999999999999</v>
      </c>
      <c r="K24">
        <f t="shared" si="0"/>
        <v>2.6717557251908399</v>
      </c>
      <c r="L24" s="3">
        <f>K24*I24</f>
        <v>352.67175572519085</v>
      </c>
      <c r="M24" s="5">
        <v>4</v>
      </c>
      <c r="N24" s="5">
        <f>L24/M24</f>
        <v>88.167938931297712</v>
      </c>
      <c r="O24" s="4" t="s">
        <v>12</v>
      </c>
      <c r="V24" s="7"/>
      <c r="W24" s="7"/>
      <c r="X24" s="7"/>
      <c r="Y24" s="7"/>
      <c r="Z24"/>
      <c r="AA24"/>
    </row>
    <row r="25" spans="1:29" x14ac:dyDescent="0.25">
      <c r="A25" t="s">
        <v>5</v>
      </c>
      <c r="B25" s="1">
        <v>43632</v>
      </c>
      <c r="C25">
        <v>9</v>
      </c>
      <c r="D25">
        <v>2</v>
      </c>
      <c r="E25">
        <v>10</v>
      </c>
      <c r="F25">
        <v>6</v>
      </c>
      <c r="G25">
        <v>0.5</v>
      </c>
      <c r="H25">
        <f>E25*F25</f>
        <v>60</v>
      </c>
      <c r="I25">
        <f>H25/G25</f>
        <v>120</v>
      </c>
      <c r="J25">
        <f>SUM([1]CompleteCreel!$L$44:$L$45)</f>
        <v>17.950000000000003</v>
      </c>
      <c r="K25">
        <f t="shared" si="0"/>
        <v>0.501392757660167</v>
      </c>
      <c r="L25">
        <f>K25*I25</f>
        <v>60.167130919220043</v>
      </c>
      <c r="M25" s="2">
        <v>4</v>
      </c>
      <c r="N25" s="2">
        <f>L25/M25</f>
        <v>15.041782729805011</v>
      </c>
      <c r="O25" s="1" t="s">
        <v>12</v>
      </c>
    </row>
    <row r="26" spans="1:29" x14ac:dyDescent="0.25">
      <c r="A26" t="s">
        <v>5</v>
      </c>
      <c r="B26" s="1">
        <v>43637</v>
      </c>
      <c r="C26">
        <v>61</v>
      </c>
      <c r="D26">
        <v>3</v>
      </c>
      <c r="E26">
        <v>1</v>
      </c>
      <c r="F26">
        <v>6</v>
      </c>
      <c r="G26">
        <v>0.5</v>
      </c>
      <c r="H26">
        <f>E26*F26</f>
        <v>6</v>
      </c>
      <c r="I26">
        <f>H26/G26</f>
        <v>12</v>
      </c>
      <c r="J26">
        <f>SUM([1]CompleteCreel!$L$46:$L$47)</f>
        <v>1.95</v>
      </c>
      <c r="K26">
        <f t="shared" si="0"/>
        <v>31.282051282051281</v>
      </c>
      <c r="L26">
        <f>K26*I26</f>
        <v>375.38461538461536</v>
      </c>
      <c r="M26" s="2">
        <v>3</v>
      </c>
      <c r="N26" s="2">
        <f>L26/M26</f>
        <v>125.12820512820512</v>
      </c>
      <c r="O26" s="1" t="s">
        <v>20</v>
      </c>
    </row>
    <row r="27" spans="1:29" ht="15.75" thickBot="1" x14ac:dyDescent="0.3">
      <c r="A27" t="s">
        <v>5</v>
      </c>
      <c r="B27" s="1">
        <v>43640</v>
      </c>
      <c r="C27">
        <v>0</v>
      </c>
      <c r="D27">
        <v>3</v>
      </c>
      <c r="E27">
        <v>2</v>
      </c>
      <c r="F27">
        <v>6</v>
      </c>
      <c r="G27">
        <v>0.5</v>
      </c>
      <c r="H27">
        <f>E27*F27</f>
        <v>12</v>
      </c>
      <c r="I27">
        <f>H27/G27</f>
        <v>24</v>
      </c>
      <c r="J27">
        <f>[1]CompleteCreel!$L$48</f>
        <v>0.9</v>
      </c>
      <c r="K27">
        <f t="shared" si="0"/>
        <v>0</v>
      </c>
      <c r="L27">
        <f>K27*I27</f>
        <v>0</v>
      </c>
      <c r="M27" s="2">
        <v>3</v>
      </c>
      <c r="N27" s="2">
        <f>L27/M27</f>
        <v>0</v>
      </c>
      <c r="O27" s="1" t="s">
        <v>20</v>
      </c>
    </row>
    <row r="28" spans="1:29" ht="15.75" thickBot="1" x14ac:dyDescent="0.3">
      <c r="A28" t="s">
        <v>5</v>
      </c>
      <c r="B28" s="1">
        <v>43643</v>
      </c>
      <c r="C28">
        <v>0</v>
      </c>
      <c r="D28">
        <v>3</v>
      </c>
      <c r="E28">
        <v>0</v>
      </c>
      <c r="F28">
        <v>6</v>
      </c>
      <c r="G28">
        <v>0.5</v>
      </c>
      <c r="H28">
        <f>E28*F28</f>
        <v>0</v>
      </c>
      <c r="I28">
        <f>H28/G28</f>
        <v>0</v>
      </c>
      <c r="J28">
        <v>0</v>
      </c>
      <c r="K28">
        <v>0</v>
      </c>
      <c r="L28">
        <f>K28*I28</f>
        <v>0</v>
      </c>
      <c r="M28" s="2">
        <v>3</v>
      </c>
      <c r="N28" s="2">
        <f>L28/M28</f>
        <v>0</v>
      </c>
      <c r="O28" s="1" t="s">
        <v>20</v>
      </c>
      <c r="V28" s="8"/>
      <c r="W28" s="9" t="s">
        <v>2</v>
      </c>
      <c r="X28" s="9" t="s">
        <v>3</v>
      </c>
      <c r="Y28" s="9" t="s">
        <v>4</v>
      </c>
      <c r="Z28" s="9" t="s">
        <v>5</v>
      </c>
      <c r="AA28" s="9" t="s">
        <v>6</v>
      </c>
      <c r="AB28" s="9" t="s">
        <v>7</v>
      </c>
    </row>
    <row r="29" spans="1:29" ht="15.75" thickBot="1" x14ac:dyDescent="0.3">
      <c r="A29" t="s">
        <v>5</v>
      </c>
      <c r="B29" s="1">
        <v>43645</v>
      </c>
      <c r="C29">
        <v>7</v>
      </c>
      <c r="D29">
        <v>3</v>
      </c>
      <c r="E29">
        <v>4</v>
      </c>
      <c r="F29">
        <v>6</v>
      </c>
      <c r="G29">
        <v>0.5</v>
      </c>
      <c r="H29">
        <f>E29*F29</f>
        <v>24</v>
      </c>
      <c r="I29">
        <f>H29/G29</f>
        <v>48</v>
      </c>
      <c r="J29">
        <f>SUM([1]CompleteCreel!$L$49:$L$50)</f>
        <v>2.21</v>
      </c>
      <c r="K29">
        <f t="shared" si="0"/>
        <v>3.1674208144796379</v>
      </c>
      <c r="L29">
        <f>K29*I29</f>
        <v>152.03619909502262</v>
      </c>
      <c r="M29" s="2">
        <v>4</v>
      </c>
      <c r="N29" s="2">
        <f>L29/M29</f>
        <v>38.009049773755656</v>
      </c>
      <c r="O29" s="1" t="s">
        <v>12</v>
      </c>
      <c r="V29" s="10" t="s">
        <v>30</v>
      </c>
      <c r="W29" s="8">
        <v>6.1538460000000003E-2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</row>
    <row r="30" spans="1:29" s="3" customFormat="1" ht="15.75" thickBot="1" x14ac:dyDescent="0.3">
      <c r="A30" s="3" t="s">
        <v>6</v>
      </c>
      <c r="B30" s="4">
        <v>43652</v>
      </c>
      <c r="C30" s="3">
        <v>0</v>
      </c>
      <c r="D30" s="3">
        <v>3</v>
      </c>
      <c r="E30" s="3">
        <v>4</v>
      </c>
      <c r="F30" s="3">
        <v>6</v>
      </c>
      <c r="G30" s="3">
        <v>0.5</v>
      </c>
      <c r="H30" s="3">
        <f>E30*F30</f>
        <v>24</v>
      </c>
      <c r="I30" s="3">
        <f>H30/G30</f>
        <v>48</v>
      </c>
      <c r="J30">
        <v>0.7</v>
      </c>
      <c r="K30">
        <f t="shared" si="0"/>
        <v>0</v>
      </c>
      <c r="L30" s="3">
        <f>K30*I30</f>
        <v>0</v>
      </c>
      <c r="M30" s="5">
        <v>4</v>
      </c>
      <c r="N30" s="5">
        <f>L30/M30</f>
        <v>0</v>
      </c>
      <c r="O30" s="4" t="s">
        <v>12</v>
      </c>
      <c r="V30" s="10" t="s">
        <v>31</v>
      </c>
      <c r="W30" s="8">
        <v>4.6153850000000003E-2</v>
      </c>
      <c r="X30" s="8">
        <v>3.0769230000000002E-2</v>
      </c>
      <c r="Y30" s="8">
        <v>3.0769230000000002E-2</v>
      </c>
      <c r="Z30" s="8">
        <v>9.2307689999999998E-2</v>
      </c>
      <c r="AA30" s="8">
        <v>3.0769230000000002E-2</v>
      </c>
      <c r="AB30" s="8">
        <v>4.6153850000000003E-2</v>
      </c>
    </row>
    <row r="31" spans="1:29" ht="15.75" thickBot="1" x14ac:dyDescent="0.3">
      <c r="A31" t="s">
        <v>6</v>
      </c>
      <c r="B31" s="1">
        <v>43664</v>
      </c>
      <c r="C31">
        <v>3</v>
      </c>
      <c r="D31">
        <v>3</v>
      </c>
      <c r="E31">
        <v>0</v>
      </c>
      <c r="F31">
        <v>6</v>
      </c>
      <c r="G31">
        <v>0.5</v>
      </c>
      <c r="H31">
        <f>E31*F31</f>
        <v>0</v>
      </c>
      <c r="I31">
        <f>H31/G31</f>
        <v>0</v>
      </c>
      <c r="J31">
        <v>6.26</v>
      </c>
      <c r="K31">
        <f t="shared" si="0"/>
        <v>0.47923322683706071</v>
      </c>
      <c r="L31">
        <f>K31*I31</f>
        <v>0</v>
      </c>
      <c r="M31" s="2">
        <v>3</v>
      </c>
      <c r="N31" s="2">
        <f>L31/M31</f>
        <v>0</v>
      </c>
      <c r="O31" s="1" t="s">
        <v>20</v>
      </c>
      <c r="V31" s="10" t="s">
        <v>32</v>
      </c>
      <c r="W31" s="8">
        <v>0.10769231</v>
      </c>
      <c r="X31" s="8">
        <v>3.0769230000000002E-2</v>
      </c>
      <c r="Y31" s="8">
        <v>0</v>
      </c>
      <c r="Z31" s="8">
        <v>0</v>
      </c>
      <c r="AA31" s="8">
        <v>0</v>
      </c>
      <c r="AB31" s="8">
        <v>0</v>
      </c>
    </row>
    <row r="32" spans="1:29" ht="15.75" thickBot="1" x14ac:dyDescent="0.3">
      <c r="A32" t="s">
        <v>6</v>
      </c>
      <c r="B32" s="1">
        <v>43648</v>
      </c>
      <c r="C32">
        <v>0</v>
      </c>
      <c r="D32">
        <v>1</v>
      </c>
      <c r="E32">
        <v>3</v>
      </c>
      <c r="F32">
        <v>6</v>
      </c>
      <c r="G32">
        <v>0.5</v>
      </c>
      <c r="H32">
        <f>E32*F32</f>
        <v>18</v>
      </c>
      <c r="I32">
        <f>H32/G32</f>
        <v>36</v>
      </c>
      <c r="J32">
        <v>0</v>
      </c>
      <c r="K32">
        <v>0</v>
      </c>
      <c r="L32">
        <f>K32*I32</f>
        <v>0</v>
      </c>
      <c r="M32" s="2">
        <v>4</v>
      </c>
      <c r="N32" s="2">
        <f>L32/M32</f>
        <v>0</v>
      </c>
      <c r="O32" s="1" t="s">
        <v>12</v>
      </c>
    </row>
    <row r="33" spans="1:28" ht="15.75" thickBot="1" x14ac:dyDescent="0.3">
      <c r="A33" t="s">
        <v>6</v>
      </c>
      <c r="B33" s="1">
        <v>43667</v>
      </c>
      <c r="C33">
        <v>0</v>
      </c>
      <c r="D33">
        <v>1</v>
      </c>
      <c r="E33">
        <v>1</v>
      </c>
      <c r="F33">
        <v>6</v>
      </c>
      <c r="G33">
        <v>0.5</v>
      </c>
      <c r="H33">
        <f>E33*F33</f>
        <v>6</v>
      </c>
      <c r="I33">
        <f>H33/G33</f>
        <v>12</v>
      </c>
      <c r="J33">
        <v>0</v>
      </c>
      <c r="K33">
        <v>0</v>
      </c>
      <c r="L33">
        <f>K33*I33</f>
        <v>0</v>
      </c>
      <c r="M33" s="2">
        <v>4</v>
      </c>
      <c r="N33" s="2">
        <f>L33/M33</f>
        <v>0</v>
      </c>
      <c r="O33" s="1" t="s">
        <v>12</v>
      </c>
      <c r="X33" s="11" t="s">
        <v>33</v>
      </c>
      <c r="Y33" s="9" t="s">
        <v>30</v>
      </c>
      <c r="Z33" s="9" t="s">
        <v>34</v>
      </c>
      <c r="AA33" s="9" t="s">
        <v>35</v>
      </c>
      <c r="AB33" s="9" t="s">
        <v>32</v>
      </c>
    </row>
    <row r="34" spans="1:28" ht="30.75" thickBot="1" x14ac:dyDescent="0.3">
      <c r="A34" t="s">
        <v>6</v>
      </c>
      <c r="B34" s="1">
        <v>43677</v>
      </c>
      <c r="C34">
        <v>0</v>
      </c>
      <c r="D34">
        <v>1</v>
      </c>
      <c r="E34">
        <v>2</v>
      </c>
      <c r="F34">
        <v>4</v>
      </c>
      <c r="G34">
        <v>0.5</v>
      </c>
      <c r="H34">
        <f>E34*F34</f>
        <v>8</v>
      </c>
      <c r="I34">
        <f>H34/G34</f>
        <v>16</v>
      </c>
      <c r="J34">
        <v>0</v>
      </c>
      <c r="K34">
        <v>0</v>
      </c>
      <c r="L34">
        <f>K34*I34</f>
        <v>0</v>
      </c>
      <c r="M34" s="2">
        <v>3</v>
      </c>
      <c r="N34" s="2">
        <f>L34/M34</f>
        <v>0</v>
      </c>
      <c r="O34" s="1" t="s">
        <v>20</v>
      </c>
      <c r="X34" s="10">
        <v>0.2</v>
      </c>
      <c r="Y34" s="8" t="s">
        <v>36</v>
      </c>
      <c r="Z34" s="8">
        <v>0.30769231000000002</v>
      </c>
      <c r="AA34" s="8">
        <v>4.6153850000000003E-2</v>
      </c>
      <c r="AB34" s="8">
        <v>0.27692307999999999</v>
      </c>
    </row>
    <row r="35" spans="1:28" s="3" customFormat="1" x14ac:dyDescent="0.25">
      <c r="A35" s="3" t="s">
        <v>7</v>
      </c>
      <c r="B35" s="4">
        <v>43686</v>
      </c>
      <c r="C35" s="3">
        <v>0</v>
      </c>
      <c r="D35" s="3">
        <v>3</v>
      </c>
      <c r="E35" s="3">
        <v>0</v>
      </c>
      <c r="F35" s="3">
        <v>1</v>
      </c>
      <c r="G35" s="3">
        <v>0.3</v>
      </c>
      <c r="H35" s="3">
        <f>E35*F35</f>
        <v>0</v>
      </c>
      <c r="I35" s="3">
        <f>H35/G35</f>
        <v>0</v>
      </c>
      <c r="J35">
        <v>0</v>
      </c>
      <c r="K35">
        <v>0</v>
      </c>
      <c r="L35" s="3">
        <f>K35*I35</f>
        <v>0</v>
      </c>
      <c r="M35" s="5">
        <v>3</v>
      </c>
      <c r="N35" s="5">
        <f t="shared" si="1"/>
        <v>0</v>
      </c>
      <c r="O35" s="4" t="s">
        <v>20</v>
      </c>
      <c r="V35" s="7"/>
      <c r="W35" s="7"/>
      <c r="X35" s="7"/>
      <c r="Y35" s="7"/>
      <c r="Z35"/>
      <c r="AA35"/>
    </row>
    <row r="36" spans="1:28" x14ac:dyDescent="0.25">
      <c r="A36" t="s">
        <v>7</v>
      </c>
      <c r="B36" s="1">
        <v>43688</v>
      </c>
      <c r="C36">
        <v>0</v>
      </c>
      <c r="D36">
        <v>1</v>
      </c>
      <c r="E36">
        <v>0</v>
      </c>
      <c r="F36">
        <v>1</v>
      </c>
      <c r="G36">
        <v>0.3</v>
      </c>
      <c r="H36">
        <f>E36*F36</f>
        <v>0</v>
      </c>
      <c r="I36">
        <f>H36/G36</f>
        <v>0</v>
      </c>
      <c r="J36">
        <v>0</v>
      </c>
      <c r="K36">
        <v>0</v>
      </c>
      <c r="L36">
        <f>K36*I36</f>
        <v>0</v>
      </c>
      <c r="M36" s="2">
        <v>4</v>
      </c>
      <c r="N36" s="2">
        <f t="shared" si="1"/>
        <v>0</v>
      </c>
      <c r="O36" s="1" t="s">
        <v>12</v>
      </c>
    </row>
    <row r="37" spans="1:28" x14ac:dyDescent="0.25">
      <c r="A37" t="s">
        <v>7</v>
      </c>
      <c r="B37" s="1">
        <v>43692</v>
      </c>
      <c r="C37">
        <v>0</v>
      </c>
      <c r="D37">
        <v>2</v>
      </c>
      <c r="E37">
        <v>0</v>
      </c>
      <c r="F37">
        <v>1</v>
      </c>
      <c r="G37">
        <v>0.3</v>
      </c>
      <c r="H37">
        <f>E37*F37</f>
        <v>0</v>
      </c>
      <c r="I37">
        <f>H37/G37</f>
        <v>0</v>
      </c>
      <c r="J37">
        <v>0</v>
      </c>
      <c r="K37">
        <v>0</v>
      </c>
      <c r="L37">
        <f>K37*I37</f>
        <v>0</v>
      </c>
      <c r="M37" s="2">
        <v>3</v>
      </c>
      <c r="N37" s="2">
        <f t="shared" si="1"/>
        <v>0</v>
      </c>
      <c r="O37" s="1" t="s">
        <v>20</v>
      </c>
    </row>
    <row r="38" spans="1:28" x14ac:dyDescent="0.25">
      <c r="A38" t="s">
        <v>7</v>
      </c>
      <c r="B38" s="1">
        <v>43694</v>
      </c>
      <c r="C38">
        <v>0</v>
      </c>
      <c r="D38">
        <v>3</v>
      </c>
      <c r="E38">
        <v>2</v>
      </c>
      <c r="F38">
        <v>1</v>
      </c>
      <c r="G38">
        <v>0.3</v>
      </c>
      <c r="H38">
        <f>E38*F38</f>
        <v>2</v>
      </c>
      <c r="I38">
        <f>H38/G38</f>
        <v>6.666666666666667</v>
      </c>
      <c r="J38">
        <v>0</v>
      </c>
      <c r="K38">
        <v>0</v>
      </c>
      <c r="L38">
        <f>K38*I38</f>
        <v>0</v>
      </c>
      <c r="M38" s="2">
        <v>4</v>
      </c>
      <c r="N38" s="2">
        <f t="shared" si="1"/>
        <v>0</v>
      </c>
      <c r="O38" s="1" t="s">
        <v>12</v>
      </c>
    </row>
    <row r="39" spans="1:28" x14ac:dyDescent="0.25">
      <c r="A39" t="s">
        <v>7</v>
      </c>
      <c r="B39" s="1">
        <v>43695</v>
      </c>
      <c r="C39">
        <v>0</v>
      </c>
      <c r="D39">
        <v>2</v>
      </c>
      <c r="E39">
        <v>0</v>
      </c>
      <c r="F39">
        <v>1</v>
      </c>
      <c r="G39">
        <v>0.3</v>
      </c>
      <c r="H39">
        <f>E39*F39</f>
        <v>0</v>
      </c>
      <c r="I39">
        <f>H39/G39</f>
        <v>0</v>
      </c>
      <c r="J39">
        <v>0</v>
      </c>
      <c r="K39">
        <v>0</v>
      </c>
      <c r="L39">
        <f>K39*I39</f>
        <v>0</v>
      </c>
      <c r="M39" s="2">
        <v>4</v>
      </c>
      <c r="N39" s="2">
        <f t="shared" si="1"/>
        <v>0</v>
      </c>
      <c r="O39" s="1" t="s">
        <v>12</v>
      </c>
      <c r="X39">
        <f>SUM(X34:AB34)</f>
        <v>0.83076924000000008</v>
      </c>
    </row>
    <row r="40" spans="1:28" x14ac:dyDescent="0.25">
      <c r="A40" t="s">
        <v>7</v>
      </c>
      <c r="B40" s="1">
        <v>43702</v>
      </c>
      <c r="C40">
        <v>0</v>
      </c>
      <c r="D40">
        <v>1</v>
      </c>
      <c r="E40">
        <v>2</v>
      </c>
      <c r="F40">
        <v>1</v>
      </c>
      <c r="G40">
        <v>0.3</v>
      </c>
      <c r="H40">
        <f>E40*F40</f>
        <v>2</v>
      </c>
      <c r="I40">
        <f>H40/G40</f>
        <v>6.666666666666667</v>
      </c>
      <c r="J40">
        <v>0</v>
      </c>
      <c r="K40">
        <v>0</v>
      </c>
      <c r="L40">
        <f>K40*I40</f>
        <v>0</v>
      </c>
      <c r="M40" s="2">
        <v>4</v>
      </c>
      <c r="N40" s="2">
        <f t="shared" si="1"/>
        <v>0</v>
      </c>
      <c r="O40" s="1" t="s">
        <v>12</v>
      </c>
    </row>
    <row r="41" spans="1:28" x14ac:dyDescent="0.25">
      <c r="A41" t="s">
        <v>7</v>
      </c>
      <c r="B41" s="1">
        <v>43705</v>
      </c>
      <c r="C41">
        <v>43</v>
      </c>
      <c r="D41">
        <v>2</v>
      </c>
      <c r="E41">
        <v>6</v>
      </c>
      <c r="F41">
        <v>1</v>
      </c>
      <c r="G41">
        <v>0.3</v>
      </c>
      <c r="H41">
        <f>E41*F41</f>
        <v>6</v>
      </c>
      <c r="I41">
        <f>H41/G41</f>
        <v>20</v>
      </c>
      <c r="J41">
        <f>SUM([1]CompleteCreel!$L$53:$L$56)</f>
        <v>11.79</v>
      </c>
      <c r="K41">
        <f t="shared" si="0"/>
        <v>3.6471586089906705</v>
      </c>
      <c r="L41">
        <f>K41*I41</f>
        <v>72.943172179813416</v>
      </c>
      <c r="M41" s="2">
        <v>3</v>
      </c>
      <c r="N41" s="2">
        <f t="shared" si="1"/>
        <v>24.314390726604472</v>
      </c>
      <c r="O41" s="1" t="s">
        <v>20</v>
      </c>
    </row>
    <row r="42" spans="1:28" x14ac:dyDescent="0.25">
      <c r="B42" s="1"/>
      <c r="O42" s="1"/>
    </row>
    <row r="43" spans="1:28" x14ac:dyDescent="0.25">
      <c r="B43" s="1"/>
      <c r="O43" s="1"/>
    </row>
    <row r="44" spans="1:28" x14ac:dyDescent="0.25">
      <c r="B44" s="1"/>
      <c r="O44" s="1"/>
    </row>
    <row r="45" spans="1:28" x14ac:dyDescent="0.25">
      <c r="B45" s="1"/>
      <c r="O45" s="1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Starnes</dc:creator>
  <cp:lastModifiedBy>Victoria Starnes</cp:lastModifiedBy>
  <dcterms:created xsi:type="dcterms:W3CDTF">2019-09-24T15:55:30Z</dcterms:created>
  <dcterms:modified xsi:type="dcterms:W3CDTF">2019-09-30T03:08:33Z</dcterms:modified>
</cp:coreProperties>
</file>