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00" yWindow="150" windowWidth="23055" windowHeight="11235" firstSheet="2" activeTab="9"/>
  </bookViews>
  <sheets>
    <sheet name="VSERS" sheetId="8" r:id="rId1"/>
    <sheet name="VSERS_SalaryGrowth" sheetId="9" r:id="rId2"/>
    <sheet name="VSERSben" sheetId="11" r:id="rId3"/>
    <sheet name="VSTRS" sheetId="13" r:id="rId4"/>
    <sheet name="VSTRS_SalaryGrowth" sheetId="14" r:id="rId5"/>
    <sheet name="VSTRS_service" sheetId="15" r:id="rId6"/>
    <sheet name="VSTRS_disab" sheetId="16" r:id="rId7"/>
    <sheet name="VMERS" sheetId="10" r:id="rId8"/>
    <sheet name="VMERS_SalaryGrowth" sheetId="17" r:id="rId9"/>
    <sheet name="VMERSben" sheetId="19" r:id="rId10"/>
    <sheet name="Sheet8" sheetId="18" r:id="rId11"/>
  </sheets>
  <calcPr calcId="1456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11" l="1"/>
  <c r="F71" i="11"/>
  <c r="E71" i="11"/>
  <c r="D71" i="11"/>
  <c r="C71" i="11"/>
  <c r="B71" i="11"/>
  <c r="L28" i="8" l="1"/>
  <c r="L26" i="8"/>
  <c r="L24" i="8"/>
  <c r="L22" i="8"/>
  <c r="K28" i="8"/>
  <c r="K26" i="8"/>
  <c r="K24" i="8"/>
  <c r="K22" i="8"/>
  <c r="K20" i="8"/>
  <c r="J28" i="8"/>
  <c r="J26" i="8"/>
  <c r="J24" i="8"/>
  <c r="J22" i="8"/>
  <c r="J20" i="8"/>
  <c r="J18" i="8"/>
  <c r="I28" i="8"/>
  <c r="I26" i="8"/>
  <c r="I24" i="8"/>
  <c r="I22" i="8"/>
  <c r="I20" i="8"/>
  <c r="I18" i="8"/>
  <c r="I16" i="8"/>
  <c r="H28" i="8"/>
  <c r="H26" i="8"/>
  <c r="H24" i="8"/>
  <c r="H22" i="8"/>
  <c r="H20" i="8"/>
  <c r="H18" i="8"/>
  <c r="H16" i="8"/>
  <c r="G28" i="8"/>
  <c r="G26" i="8"/>
  <c r="G24" i="8"/>
  <c r="G22" i="8"/>
  <c r="G20" i="8"/>
  <c r="G18" i="8"/>
  <c r="G16" i="8"/>
  <c r="G14" i="8"/>
  <c r="G12" i="8"/>
  <c r="F28" i="8"/>
  <c r="F26" i="8"/>
  <c r="F24" i="8"/>
  <c r="F22" i="8"/>
  <c r="F20" i="8"/>
  <c r="F18" i="8"/>
  <c r="F16" i="8"/>
  <c r="F14" i="8"/>
  <c r="F12" i="8"/>
  <c r="E28" i="8"/>
  <c r="E26" i="8"/>
  <c r="E24" i="8"/>
  <c r="E22" i="8"/>
  <c r="E20" i="8"/>
  <c r="E18" i="8"/>
  <c r="E16" i="8"/>
  <c r="E14" i="8"/>
  <c r="E12" i="8"/>
  <c r="D28" i="8"/>
  <c r="D26" i="8"/>
  <c r="D24" i="8"/>
  <c r="D22" i="8"/>
  <c r="D20" i="8"/>
  <c r="D18" i="8"/>
  <c r="D16" i="8"/>
  <c r="D14" i="8"/>
  <c r="D12" i="8"/>
  <c r="F10" i="8"/>
  <c r="E10" i="8"/>
  <c r="D10" i="8"/>
  <c r="E8" i="8"/>
  <c r="D8" i="8"/>
  <c r="D6" i="8"/>
</calcChain>
</file>

<file path=xl/sharedStrings.xml><?xml version="1.0" encoding="utf-8"?>
<sst xmlns="http://schemas.openxmlformats.org/spreadsheetml/2006/main" count="233" uniqueCount="70">
  <si>
    <t>TOC</t>
  </si>
  <si>
    <t>0-4</t>
  </si>
  <si>
    <t>15-19</t>
  </si>
  <si>
    <t>20-24</t>
  </si>
  <si>
    <t>25-29</t>
  </si>
  <si>
    <t>30-34</t>
  </si>
  <si>
    <t>35-39</t>
  </si>
  <si>
    <t>40+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</si>
  <si>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</si>
  <si>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</si>
  <si>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</si>
  <si>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</si>
  <si>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</si>
  <si>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</si>
  <si>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</si>
  <si>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65-69</t>
  </si>
  <si>
    <t>age</t>
  </si>
  <si>
    <t>workforce</t>
  </si>
  <si>
    <t>avgpay</t>
  </si>
  <si>
    <t>Actives</t>
  </si>
  <si>
    <t>growth</t>
  </si>
  <si>
    <t>increments are every 5 years versus 10 for PA-PSERS</t>
  </si>
  <si>
    <t>first age bracket is 25 versus 20</t>
  </si>
  <si>
    <t>last age bracket is 64 versus 70</t>
  </si>
  <si>
    <t>Last data row is 12 versus 11</t>
  </si>
  <si>
    <t>Notes by MattC</t>
  </si>
  <si>
    <t>From page 22 of FY2014 Vermont State Employees actuarial report</t>
  </si>
  <si>
    <t>From page 34 of VSERS 2014 actuarial report</t>
  </si>
  <si>
    <t>Over 70</t>
  </si>
  <si>
    <t xml:space="preserve">TOTAL </t>
  </si>
  <si>
    <t xml:space="preserve">70 &amp; up </t>
  </si>
  <si>
    <t xml:space="preserve">65 to 69 </t>
  </si>
  <si>
    <t xml:space="preserve">60 to 64 </t>
  </si>
  <si>
    <t xml:space="preserve">55 to 59 </t>
  </si>
  <si>
    <t xml:space="preserve">50 to 54 </t>
  </si>
  <si>
    <t xml:space="preserve">45 to 49 </t>
  </si>
  <si>
    <t xml:space="preserve">40 to 44 </t>
  </si>
  <si>
    <t xml:space="preserve">35 to 39 </t>
  </si>
  <si>
    <t xml:space="preserve">30 to 34 </t>
  </si>
  <si>
    <t xml:space="preserve">25 to 29 </t>
  </si>
  <si>
    <t xml:space="preserve">20 to 24 </t>
  </si>
  <si>
    <t xml:space="preserve">Under 20 </t>
  </si>
  <si>
    <t xml:space="preserve">Average Allowance </t>
  </si>
  <si>
    <t xml:space="preserve">Total Pensioners </t>
  </si>
  <si>
    <t xml:space="preserve">95+ </t>
  </si>
  <si>
    <t xml:space="preserve">90-94 </t>
  </si>
  <si>
    <t xml:space="preserve">85-89 </t>
  </si>
  <si>
    <t xml:space="preserve">80-84 </t>
  </si>
  <si>
    <t xml:space="preserve">75-79 </t>
  </si>
  <si>
    <t xml:space="preserve">70-74 </t>
  </si>
  <si>
    <t xml:space="preserve">65-69 </t>
  </si>
  <si>
    <t xml:space="preserve">60-64 </t>
  </si>
  <si>
    <t xml:space="preserve">55-59 </t>
  </si>
  <si>
    <t xml:space="preserve">50-54 </t>
  </si>
  <si>
    <t xml:space="preserve">45-49 </t>
  </si>
  <si>
    <t xml:space="preserve">&lt; 45 </t>
  </si>
  <si>
    <t>Total</t>
  </si>
  <si>
    <t xml:space="preserve">45+ </t>
  </si>
  <si>
    <t xml:space="preserve">40-44 </t>
  </si>
  <si>
    <t xml:space="preserve">35-39 </t>
  </si>
  <si>
    <t xml:space="preserve">30-34 </t>
  </si>
  <si>
    <t xml:space="preserve">25-29 </t>
  </si>
  <si>
    <t xml:space="preserve">20-24 </t>
  </si>
  <si>
    <t xml:space="preserve">15-19 </t>
  </si>
  <si>
    <t xml:space="preserve">&lt;5 </t>
  </si>
  <si>
    <t xml:space="preserve">- </t>
  </si>
  <si>
    <t>-</t>
  </si>
  <si>
    <t>$</t>
  </si>
  <si>
    <t xml:space="preserve">30 and Under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</si>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</sst>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0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342900</xdr:colOff>
      <xdr:row>5</xdr:row>
      <xdr:rowOff>9525</xdr:rowOff>
    </xdr:from>
    <xdr:to>
      <xdr:col>26</xdr:col>
      <xdr:colOff>163092</xdr:colOff>
      <xdr:row>29</xdr:row>
      <xdr:rowOff>38711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0450" y="923925"/>
          <a:ext cx="8354592" cy="4372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20</xdr:col>
      <xdr:colOff>572516</xdr:colOff>
      <xdr:row>33</xdr:row>
      <xdr:rowOff>124660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81000"/>
          <a:ext cx="7278116" cy="5982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A17" sqref="A17"/>
    </sheetView>
  </sheetViews>
  <sheetFormatPr defaultRowHeight="15" x14ac:dyDescent="0.25"/>
  <cols>
    <col min="4" max="4" width="15.42578125" bestFit="1" customWidth="1"/>
    <col min="5" max="10" width="15.28515625" bestFit="1" customWidth="1"/>
    <col min="11" max="12" width="14.28515625" bestFit="1" customWidth="1"/>
  </cols>
  <sheetData>
    <row r="1" spans="1:15" ht="14.45" x14ac:dyDescent="0.3">
      <c r="A1" s="1" t="s">
        <v>0</v>
      </c>
    </row>
    <row r="2" spans="1:15" x14ac:dyDescent="0.25">
      <c r="O2" t="s">
        <v>27</v>
      </c>
    </row>
    <row r="3" spans="1:15" ht="14.45" x14ac:dyDescent="0.3">
      <c r="A3" t="s">
        <v>19</v>
      </c>
    </row>
    <row r="4" spans="1:15" ht="14.45" x14ac:dyDescent="0.3">
      <c r="D4" t="s">
        <v>1</v>
      </c>
      <c r="E4" s="2" t="s">
        <v>13</v>
      </c>
      <c r="F4" s="2" t="s">
        <v>14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</row>
    <row r="5" spans="1:15" ht="14.45" x14ac:dyDescent="0.3">
      <c r="A5">
        <v>1</v>
      </c>
      <c r="B5" t="s">
        <v>17</v>
      </c>
      <c r="C5" s="5">
        <v>20</v>
      </c>
      <c r="D5" s="3">
        <v>7</v>
      </c>
      <c r="M5" s="3"/>
    </row>
    <row r="6" spans="1:15" ht="14.45" x14ac:dyDescent="0.3">
      <c r="A6">
        <v>1</v>
      </c>
      <c r="B6" t="s">
        <v>18</v>
      </c>
      <c r="C6" s="5">
        <v>20</v>
      </c>
      <c r="D6" s="4">
        <f>72158/D5</f>
        <v>10308.285714285714</v>
      </c>
      <c r="E6" s="4"/>
      <c r="N6" s="4"/>
    </row>
    <row r="7" spans="1:15" ht="14.45" x14ac:dyDescent="0.3">
      <c r="A7">
        <v>2</v>
      </c>
      <c r="B7" t="s">
        <v>17</v>
      </c>
      <c r="C7" t="s">
        <v>3</v>
      </c>
      <c r="D7" s="3">
        <v>201</v>
      </c>
      <c r="E7" s="3">
        <v>2</v>
      </c>
      <c r="M7" s="3"/>
    </row>
    <row r="8" spans="1:15" ht="14.45" x14ac:dyDescent="0.3">
      <c r="A8">
        <v>2</v>
      </c>
      <c r="B8" t="s">
        <v>18</v>
      </c>
      <c r="C8" t="s">
        <v>3</v>
      </c>
      <c r="D8" s="4">
        <f>5999737/D7</f>
        <v>29849.437810945274</v>
      </c>
      <c r="E8" s="4">
        <f>106911/E7</f>
        <v>53455.5</v>
      </c>
      <c r="F8" s="4"/>
      <c r="N8" s="4"/>
    </row>
    <row r="9" spans="1:15" ht="14.45" x14ac:dyDescent="0.3">
      <c r="A9">
        <v>3</v>
      </c>
      <c r="B9" t="s">
        <v>17</v>
      </c>
      <c r="C9" t="s">
        <v>4</v>
      </c>
      <c r="D9" s="3">
        <v>564</v>
      </c>
      <c r="E9" s="3">
        <v>86</v>
      </c>
      <c r="F9" s="3">
        <v>1</v>
      </c>
      <c r="M9" s="3"/>
    </row>
    <row r="10" spans="1:15" ht="14.45" x14ac:dyDescent="0.3">
      <c r="A10">
        <v>3</v>
      </c>
      <c r="B10" t="s">
        <v>18</v>
      </c>
      <c r="C10" t="s">
        <v>4</v>
      </c>
      <c r="D10" s="4">
        <f>20946974/D9</f>
        <v>37140.024822695035</v>
      </c>
      <c r="E10" s="4">
        <f>4152892/E9</f>
        <v>48289.441860465115</v>
      </c>
      <c r="F10" s="4">
        <f>40223/F9</f>
        <v>40223</v>
      </c>
      <c r="G10" s="4"/>
      <c r="N10" s="4"/>
    </row>
    <row r="11" spans="1:15" ht="14.45" x14ac:dyDescent="0.3">
      <c r="A11">
        <v>4</v>
      </c>
      <c r="B11" t="s">
        <v>17</v>
      </c>
      <c r="C11" t="s">
        <v>5</v>
      </c>
      <c r="D11" s="3">
        <v>447</v>
      </c>
      <c r="E11" s="3">
        <v>273</v>
      </c>
      <c r="F11" s="3">
        <v>65</v>
      </c>
      <c r="G11" s="3">
        <v>1</v>
      </c>
      <c r="M11" s="3"/>
    </row>
    <row r="12" spans="1:15" ht="14.45" x14ac:dyDescent="0.3">
      <c r="A12">
        <v>4</v>
      </c>
      <c r="B12" t="s">
        <v>18</v>
      </c>
      <c r="C12" t="s">
        <v>5</v>
      </c>
      <c r="D12" s="4">
        <f>17443321/D11</f>
        <v>39023.089485458615</v>
      </c>
      <c r="E12" s="4">
        <f>14197259/E11</f>
        <v>52004.61172161172</v>
      </c>
      <c r="F12" s="4">
        <f>3303671/F11</f>
        <v>50825.707692307689</v>
      </c>
      <c r="G12" s="4">
        <f>46757/G11</f>
        <v>46757</v>
      </c>
      <c r="H12" s="4"/>
      <c r="N12" s="4"/>
    </row>
    <row r="13" spans="1:15" ht="14.45" x14ac:dyDescent="0.3">
      <c r="A13">
        <v>5</v>
      </c>
      <c r="B13" t="s">
        <v>17</v>
      </c>
      <c r="C13" t="s">
        <v>6</v>
      </c>
      <c r="D13" s="3">
        <v>334</v>
      </c>
      <c r="E13" s="3">
        <v>267</v>
      </c>
      <c r="F13" s="3">
        <v>229</v>
      </c>
      <c r="G13" s="3">
        <v>45</v>
      </c>
      <c r="H13" s="3">
        <v>0</v>
      </c>
      <c r="M13" s="3"/>
    </row>
    <row r="14" spans="1:15" ht="14.45" x14ac:dyDescent="0.3">
      <c r="A14">
        <v>5</v>
      </c>
      <c r="B14" t="s">
        <v>18</v>
      </c>
      <c r="C14" t="s">
        <v>6</v>
      </c>
      <c r="D14" s="4">
        <f>13513574/D13</f>
        <v>40459.802395209583</v>
      </c>
      <c r="E14" s="4">
        <f>14313447/E13</f>
        <v>53608.415730337081</v>
      </c>
      <c r="F14" s="4">
        <f>13921947/F13</f>
        <v>60794.528384279474</v>
      </c>
      <c r="G14" s="4">
        <f>2776405/G13</f>
        <v>61697.888888888891</v>
      </c>
      <c r="H14" s="4">
        <v>0</v>
      </c>
      <c r="I14" s="4"/>
      <c r="N14" s="4"/>
    </row>
    <row r="15" spans="1:15" ht="14.45" x14ac:dyDescent="0.3">
      <c r="A15">
        <v>6</v>
      </c>
      <c r="B15" t="s">
        <v>17</v>
      </c>
      <c r="C15" t="s">
        <v>8</v>
      </c>
      <c r="D15" s="3">
        <v>311</v>
      </c>
      <c r="E15" s="3">
        <v>230</v>
      </c>
      <c r="F15" s="3">
        <v>252</v>
      </c>
      <c r="G15" s="3">
        <v>175</v>
      </c>
      <c r="H15" s="3">
        <v>77</v>
      </c>
      <c r="I15" s="3">
        <v>8</v>
      </c>
      <c r="M15" s="3"/>
    </row>
    <row r="16" spans="1:15" ht="14.45" x14ac:dyDescent="0.3">
      <c r="A16">
        <v>6</v>
      </c>
      <c r="B16" t="s">
        <v>18</v>
      </c>
      <c r="C16" t="s">
        <v>8</v>
      </c>
      <c r="D16" s="4">
        <f>12059828/D15</f>
        <v>38777.581993569132</v>
      </c>
      <c r="E16" s="4">
        <f>12870795/E15</f>
        <v>55959.978260869568</v>
      </c>
      <c r="F16" s="4">
        <f>15125861/F15</f>
        <v>60023.257936507936</v>
      </c>
      <c r="G16" s="4">
        <f>11505782/G15</f>
        <v>65747.325714285718</v>
      </c>
      <c r="H16" s="4">
        <f>4663105/H15</f>
        <v>60559.805194805194</v>
      </c>
      <c r="I16" s="4">
        <f>446159/I15</f>
        <v>55769.875</v>
      </c>
      <c r="J16" s="4"/>
      <c r="N16" s="4"/>
    </row>
    <row r="17" spans="1:14" ht="14.45" x14ac:dyDescent="0.3">
      <c r="A17">
        <v>7</v>
      </c>
      <c r="B17" t="s">
        <v>17</v>
      </c>
      <c r="C17" t="s">
        <v>9</v>
      </c>
      <c r="D17" s="3">
        <v>254</v>
      </c>
      <c r="E17" s="3">
        <v>214</v>
      </c>
      <c r="F17" s="3">
        <v>208</v>
      </c>
      <c r="G17" s="3">
        <v>172</v>
      </c>
      <c r="H17" s="3">
        <v>172</v>
      </c>
      <c r="I17" s="3">
        <v>142</v>
      </c>
      <c r="J17" s="3">
        <v>5</v>
      </c>
      <c r="M17" s="3"/>
    </row>
    <row r="18" spans="1:14" ht="14.45" x14ac:dyDescent="0.3">
      <c r="A18">
        <v>7</v>
      </c>
      <c r="B18" t="s">
        <v>18</v>
      </c>
      <c r="C18" t="s">
        <v>9</v>
      </c>
      <c r="D18" s="4">
        <f>10553663/D17</f>
        <v>41549.854330708658</v>
      </c>
      <c r="E18" s="4">
        <f>11363188/E17</f>
        <v>53099.009345794395</v>
      </c>
      <c r="F18" s="4">
        <f>11752759/F17</f>
        <v>56503.649038461539</v>
      </c>
      <c r="G18" s="4">
        <f>10568325/G17</f>
        <v>61443.75</v>
      </c>
      <c r="H18" s="4">
        <f>12045783/H17</f>
        <v>70033.622093023252</v>
      </c>
      <c r="I18" s="4">
        <f>9861940/I17</f>
        <v>69450.281690140851</v>
      </c>
      <c r="J18" s="4">
        <f>261648/J17</f>
        <v>52329.599999999999</v>
      </c>
      <c r="K18" s="4"/>
      <c r="N18" s="4"/>
    </row>
    <row r="19" spans="1:14" ht="14.45" x14ac:dyDescent="0.3">
      <c r="A19">
        <v>8</v>
      </c>
      <c r="B19" t="s">
        <v>17</v>
      </c>
      <c r="C19" t="s">
        <v>10</v>
      </c>
      <c r="D19" s="3">
        <v>250</v>
      </c>
      <c r="E19" s="3">
        <v>194</v>
      </c>
      <c r="F19" s="3">
        <v>228</v>
      </c>
      <c r="G19" s="3">
        <v>149</v>
      </c>
      <c r="H19" s="3">
        <v>128</v>
      </c>
      <c r="I19" s="3">
        <v>186</v>
      </c>
      <c r="J19" s="3">
        <v>91</v>
      </c>
      <c r="K19">
        <v>11</v>
      </c>
      <c r="M19" s="3"/>
    </row>
    <row r="20" spans="1:14" ht="14.45" x14ac:dyDescent="0.3">
      <c r="A20">
        <v>8</v>
      </c>
      <c r="B20" t="s">
        <v>18</v>
      </c>
      <c r="C20" t="s">
        <v>10</v>
      </c>
      <c r="D20" s="4">
        <f>10317751/D19</f>
        <v>41271.004000000001</v>
      </c>
      <c r="E20" s="4">
        <f>10258114/E19</f>
        <v>52876.876288659791</v>
      </c>
      <c r="F20" s="4">
        <f>12516379/F19</f>
        <v>54896.399122807015</v>
      </c>
      <c r="G20" s="4">
        <f>8873675/G19</f>
        <v>59554.865771812081</v>
      </c>
      <c r="H20" s="4">
        <f>8132014/H19</f>
        <v>63531.359375</v>
      </c>
      <c r="I20" s="4">
        <f>11726422/I19</f>
        <v>63045.279569892475</v>
      </c>
      <c r="J20" s="4">
        <f>5461029/J19</f>
        <v>60011.307692307695</v>
      </c>
      <c r="K20" s="4">
        <f>640559/K19</f>
        <v>58232.63636363636</v>
      </c>
      <c r="L20" s="4"/>
      <c r="N20" s="4"/>
    </row>
    <row r="21" spans="1:14" ht="14.45" x14ac:dyDescent="0.3">
      <c r="A21">
        <v>9</v>
      </c>
      <c r="B21" t="s">
        <v>17</v>
      </c>
      <c r="C21" t="s">
        <v>11</v>
      </c>
      <c r="D21" s="3">
        <v>188</v>
      </c>
      <c r="E21" s="3">
        <v>194</v>
      </c>
      <c r="F21" s="3">
        <v>231</v>
      </c>
      <c r="G21" s="3">
        <v>137</v>
      </c>
      <c r="H21" s="3">
        <v>123</v>
      </c>
      <c r="I21" s="3">
        <v>161</v>
      </c>
      <c r="J21">
        <v>113</v>
      </c>
      <c r="K21">
        <v>57</v>
      </c>
      <c r="L21">
        <v>7</v>
      </c>
      <c r="M21" s="3"/>
    </row>
    <row r="22" spans="1:14" ht="14.45" x14ac:dyDescent="0.3">
      <c r="A22">
        <v>9</v>
      </c>
      <c r="B22" t="s">
        <v>18</v>
      </c>
      <c r="C22" t="s">
        <v>11</v>
      </c>
      <c r="D22" s="4">
        <f>8567039/D21</f>
        <v>45569.356382978724</v>
      </c>
      <c r="E22" s="4">
        <f>9739117/E21</f>
        <v>50201.634020618556</v>
      </c>
      <c r="F22" s="4">
        <f>12628621/F21</f>
        <v>54669.354978354975</v>
      </c>
      <c r="G22" s="4">
        <f>7765042/G21</f>
        <v>56679.138686131388</v>
      </c>
      <c r="H22" s="4">
        <f>7399138/H21</f>
        <v>60155.593495934962</v>
      </c>
      <c r="I22" s="4">
        <f>10116198/I21</f>
        <v>62833.527950310556</v>
      </c>
      <c r="J22" s="4">
        <f>7631990/J21</f>
        <v>67539.734513274336</v>
      </c>
      <c r="K22" s="4">
        <f>3618575/K21</f>
        <v>63483.771929824565</v>
      </c>
      <c r="L22" s="4">
        <f>463830/L21</f>
        <v>66261.428571428565</v>
      </c>
      <c r="N22" s="4"/>
    </row>
    <row r="23" spans="1:14" ht="14.45" x14ac:dyDescent="0.3">
      <c r="A23">
        <v>10</v>
      </c>
      <c r="B23" t="s">
        <v>17</v>
      </c>
      <c r="C23" t="s">
        <v>12</v>
      </c>
      <c r="D23" s="3">
        <v>105</v>
      </c>
      <c r="E23" s="3">
        <v>111</v>
      </c>
      <c r="F23" s="3">
        <v>147</v>
      </c>
      <c r="G23">
        <v>94</v>
      </c>
      <c r="H23">
        <v>81</v>
      </c>
      <c r="I23">
        <v>114</v>
      </c>
      <c r="J23">
        <v>77</v>
      </c>
      <c r="K23">
        <v>76</v>
      </c>
      <c r="L23">
        <v>30</v>
      </c>
      <c r="M23" s="3"/>
    </row>
    <row r="24" spans="1:14" ht="14.45" x14ac:dyDescent="0.3">
      <c r="A24">
        <v>10</v>
      </c>
      <c r="B24" t="s">
        <v>18</v>
      </c>
      <c r="C24" t="s">
        <v>12</v>
      </c>
      <c r="D24" s="4">
        <f>4562072/D23</f>
        <v>43448.304761904765</v>
      </c>
      <c r="E24" s="4">
        <f>6157186/E23</f>
        <v>55470.144144144142</v>
      </c>
      <c r="F24" s="4">
        <f>8468162/F23</f>
        <v>57606.544217687078</v>
      </c>
      <c r="G24" s="4">
        <f>5351913/G23</f>
        <v>56935.244680851065</v>
      </c>
      <c r="H24" s="4">
        <f>5174069/H23</f>
        <v>63877.395061728392</v>
      </c>
      <c r="I24" s="4">
        <f>7403773/I23</f>
        <v>64945.377192982458</v>
      </c>
      <c r="J24" s="4">
        <f>5476118/J23</f>
        <v>71118.41558441559</v>
      </c>
      <c r="K24" s="4">
        <f>5251854/K23</f>
        <v>69103.34210526316</v>
      </c>
      <c r="L24" s="4">
        <f>2133223/L23</f>
        <v>71107.433333333334</v>
      </c>
      <c r="N24" s="4"/>
    </row>
    <row r="25" spans="1:14" ht="14.45" x14ac:dyDescent="0.3">
      <c r="A25">
        <v>11</v>
      </c>
      <c r="B25" t="s">
        <v>17</v>
      </c>
      <c r="C25" t="s">
        <v>15</v>
      </c>
      <c r="D25" s="3">
        <v>19</v>
      </c>
      <c r="E25" s="3">
        <v>44</v>
      </c>
      <c r="F25" s="3">
        <v>45</v>
      </c>
      <c r="G25" s="3">
        <v>36</v>
      </c>
      <c r="H25" s="3">
        <v>19</v>
      </c>
      <c r="I25" s="3">
        <v>20</v>
      </c>
      <c r="J25" s="3">
        <v>25</v>
      </c>
      <c r="K25" s="3">
        <v>22</v>
      </c>
      <c r="L25" s="3">
        <v>21</v>
      </c>
      <c r="N25" s="4"/>
    </row>
    <row r="26" spans="1:14" ht="14.45" x14ac:dyDescent="0.3">
      <c r="A26">
        <v>11</v>
      </c>
      <c r="B26" t="s">
        <v>18</v>
      </c>
      <c r="C26" t="s">
        <v>15</v>
      </c>
      <c r="D26" s="4">
        <f>980551/D25</f>
        <v>51607.947368421053</v>
      </c>
      <c r="E26" s="4">
        <f>2294210/E25</f>
        <v>52141.13636363636</v>
      </c>
      <c r="F26" s="4">
        <f>2337925/F25</f>
        <v>51953.888888888891</v>
      </c>
      <c r="G26" s="4">
        <f>2096298/G25</f>
        <v>58230.5</v>
      </c>
      <c r="H26" s="4">
        <f>1430762/H25</f>
        <v>75303.263157894733</v>
      </c>
      <c r="I26" s="4">
        <f>1318145/I25</f>
        <v>65907.25</v>
      </c>
      <c r="J26" s="4">
        <f>1592959/J25</f>
        <v>63718.36</v>
      </c>
      <c r="K26" s="4">
        <f>1608944/K25</f>
        <v>73133.818181818177</v>
      </c>
      <c r="L26" s="4">
        <f>1616297/L25</f>
        <v>76966.523809523816</v>
      </c>
      <c r="N26" s="4"/>
    </row>
    <row r="27" spans="1:14" ht="14.45" x14ac:dyDescent="0.3">
      <c r="A27">
        <v>12</v>
      </c>
      <c r="B27" t="s">
        <v>17</v>
      </c>
      <c r="C27" t="s">
        <v>28</v>
      </c>
      <c r="D27" s="3">
        <v>8</v>
      </c>
      <c r="E27" s="3">
        <v>2</v>
      </c>
      <c r="F27" s="3">
        <v>8</v>
      </c>
      <c r="G27" s="3">
        <v>9</v>
      </c>
      <c r="H27" s="3">
        <v>5</v>
      </c>
      <c r="I27" s="3">
        <v>5</v>
      </c>
      <c r="J27" s="3">
        <v>2</v>
      </c>
      <c r="K27" s="3">
        <v>2</v>
      </c>
      <c r="L27" s="3">
        <v>8</v>
      </c>
      <c r="M27" s="3"/>
    </row>
    <row r="28" spans="1:14" ht="14.45" x14ac:dyDescent="0.3">
      <c r="A28">
        <v>12</v>
      </c>
      <c r="B28" t="s">
        <v>18</v>
      </c>
      <c r="C28" t="s">
        <v>28</v>
      </c>
      <c r="D28" s="4">
        <f>183791/D27</f>
        <v>22973.875</v>
      </c>
      <c r="E28" s="4">
        <f>61527/E27</f>
        <v>30763.5</v>
      </c>
      <c r="F28" s="4">
        <f>485017/F27</f>
        <v>60627.125</v>
      </c>
      <c r="G28" s="4">
        <f>450602/G27</f>
        <v>50066.888888888891</v>
      </c>
      <c r="H28" s="4">
        <f>231749/H27</f>
        <v>46349.8</v>
      </c>
      <c r="I28" s="4">
        <f>412563/I27</f>
        <v>82512.600000000006</v>
      </c>
      <c r="J28" s="4">
        <f>130680/J27</f>
        <v>65340</v>
      </c>
      <c r="K28" s="4">
        <f>136283/K27</f>
        <v>68141.5</v>
      </c>
      <c r="L28" s="4">
        <f>559638/L27</f>
        <v>69954.75</v>
      </c>
      <c r="N28" s="3"/>
    </row>
    <row r="29" spans="1:14" ht="14.45" x14ac:dyDescent="0.3">
      <c r="M29" s="3"/>
    </row>
    <row r="30" spans="1:14" ht="14.45" x14ac:dyDescent="0.3"/>
    <row r="31" spans="1:14" ht="14.45" x14ac:dyDescent="0.3">
      <c r="E31" s="2"/>
      <c r="F31" s="2"/>
    </row>
    <row r="32" spans="1:14" ht="14.45" x14ac:dyDescent="0.3">
      <c r="E32" s="3"/>
      <c r="F32" s="3"/>
      <c r="M32" s="3"/>
    </row>
    <row r="33" spans="4:13" ht="14.45" x14ac:dyDescent="0.3">
      <c r="E33" s="4"/>
      <c r="F33" s="4"/>
      <c r="G33" s="4"/>
      <c r="H33" s="4"/>
      <c r="I33" s="4"/>
      <c r="M33" s="4"/>
    </row>
    <row r="34" spans="4:13" ht="14.45" x14ac:dyDescent="0.3">
      <c r="E34" s="3"/>
      <c r="F34" s="3"/>
      <c r="M34" s="3"/>
    </row>
    <row r="35" spans="4:13" ht="14.45" x14ac:dyDescent="0.3">
      <c r="E35" s="4"/>
      <c r="F35" s="4"/>
      <c r="G35" s="4"/>
      <c r="H35" s="4"/>
      <c r="I35" s="4"/>
      <c r="J35" s="4"/>
      <c r="K35" s="4"/>
      <c r="M35" s="4"/>
    </row>
    <row r="36" spans="4:13" ht="14.45" x14ac:dyDescent="0.3">
      <c r="E36" s="3"/>
      <c r="F36" s="3"/>
      <c r="J36" s="3"/>
      <c r="K36" s="3"/>
      <c r="M36" s="3"/>
    </row>
    <row r="37" spans="4:13" ht="14.45" x14ac:dyDescent="0.3">
      <c r="E37" s="4"/>
      <c r="F37" s="4"/>
      <c r="G37" s="4"/>
      <c r="H37" s="4"/>
      <c r="I37" s="4"/>
      <c r="J37" s="4"/>
      <c r="K37" s="4"/>
      <c r="L37" s="4"/>
      <c r="M37" s="4"/>
    </row>
    <row r="38" spans="4:13" ht="14.45" x14ac:dyDescent="0.3">
      <c r="E38" s="3"/>
      <c r="F38" s="3"/>
      <c r="G38" s="3"/>
      <c r="H38" s="3"/>
      <c r="I38" s="3"/>
      <c r="J38" s="3"/>
      <c r="K38" s="3"/>
      <c r="M38" s="3"/>
    </row>
    <row r="39" spans="4:13" ht="14.45" x14ac:dyDescent="0.3"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4:13" ht="14.45" x14ac:dyDescent="0.3">
      <c r="E40" s="3"/>
      <c r="F40" s="3"/>
      <c r="G40" s="3"/>
      <c r="H40" s="3"/>
      <c r="I40" s="3"/>
      <c r="J40" s="3"/>
      <c r="K40" s="3"/>
      <c r="L40" s="3"/>
      <c r="M40" s="3"/>
    </row>
    <row r="41" spans="4:13" ht="14.45" x14ac:dyDescent="0.3"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4:13" ht="14.45" x14ac:dyDescent="0.3">
      <c r="D42" s="3"/>
      <c r="E42" s="3"/>
      <c r="F42" s="3"/>
      <c r="G42" s="3"/>
      <c r="H42" s="3"/>
      <c r="I42" s="3"/>
      <c r="J42" s="3"/>
      <c r="K42" s="3"/>
      <c r="M42" s="3"/>
    </row>
    <row r="43" spans="4:13" ht="14.45" x14ac:dyDescent="0.3"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4:13" x14ac:dyDescent="0.25">
      <c r="E44" s="3"/>
      <c r="F44" s="3"/>
      <c r="G44" s="3"/>
      <c r="H44" s="3"/>
      <c r="I44" s="3"/>
      <c r="J44" s="3"/>
      <c r="K44" s="3"/>
      <c r="M44" s="3"/>
    </row>
    <row r="45" spans="4:13" x14ac:dyDescent="0.25"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4:13" x14ac:dyDescent="0.25">
      <c r="F46" s="3"/>
      <c r="G46" s="3"/>
      <c r="H46" s="3"/>
      <c r="I46" s="3"/>
      <c r="J46" s="3"/>
      <c r="K46" s="3"/>
      <c r="M46" s="3"/>
    </row>
    <row r="47" spans="4:13" x14ac:dyDescent="0.25"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4:13" x14ac:dyDescent="0.25">
      <c r="F48" s="3"/>
      <c r="G48" s="3"/>
      <c r="H48" s="3"/>
      <c r="I48" s="3"/>
      <c r="J48" s="3"/>
      <c r="K48" s="3"/>
      <c r="M48" s="3"/>
    </row>
    <row r="49" spans="4:13" x14ac:dyDescent="0.25"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4:13" x14ac:dyDescent="0.25">
      <c r="F50" s="3"/>
      <c r="G50" s="3"/>
      <c r="H50" s="3"/>
      <c r="M50" s="3"/>
    </row>
    <row r="51" spans="4:13" x14ac:dyDescent="0.25"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4:13" x14ac:dyDescent="0.25"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4:13" x14ac:dyDescent="0.25">
      <c r="D53" s="4"/>
      <c r="E53" s="4"/>
      <c r="F53" s="4"/>
      <c r="G53" s="4"/>
      <c r="H53" s="4"/>
      <c r="I53" s="4"/>
      <c r="J53" s="4"/>
      <c r="K53" s="4"/>
      <c r="L53" s="4"/>
      <c r="M53" s="4"/>
    </row>
  </sheetData>
  <sortState ref="C51:C69">
    <sortCondition ref="C51"/>
  </sortState>
  <hyperlinks>
    <hyperlink ref="A1" location="TOC!A1" display="TOC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A31" sqref="A31"/>
    </sheetView>
  </sheetViews>
  <sheetFormatPr defaultRowHeight="15" x14ac:dyDescent="0.25"/>
  <sheetData>
    <row r="1" spans="1:13" x14ac:dyDescent="0.25">
      <c r="A1" t="s">
        <v>68</v>
      </c>
      <c r="B1" t="s">
        <v>65</v>
      </c>
      <c r="D1" t="s">
        <v>67</v>
      </c>
      <c r="E1" t="s">
        <v>65</v>
      </c>
      <c r="F1" t="s">
        <v>65</v>
      </c>
      <c r="H1" t="s">
        <v>67</v>
      </c>
      <c r="I1" t="s">
        <v>65</v>
      </c>
      <c r="K1">
        <v>2</v>
      </c>
      <c r="L1" t="s">
        <v>67</v>
      </c>
      <c r="M1" s="3">
        <v>11207</v>
      </c>
    </row>
    <row r="2" spans="1:13" x14ac:dyDescent="0.25">
      <c r="A2">
        <v>32</v>
      </c>
      <c r="B2" t="s">
        <v>65</v>
      </c>
      <c r="E2" t="s">
        <v>65</v>
      </c>
      <c r="F2" t="s">
        <v>65</v>
      </c>
      <c r="I2" t="s">
        <v>65</v>
      </c>
      <c r="K2">
        <v>1</v>
      </c>
      <c r="M2" s="3">
        <v>1792</v>
      </c>
    </row>
    <row r="3" spans="1:13" x14ac:dyDescent="0.25">
      <c r="A3">
        <v>38</v>
      </c>
      <c r="B3" t="s">
        <v>65</v>
      </c>
      <c r="E3" t="s">
        <v>65</v>
      </c>
      <c r="F3" t="s">
        <v>65</v>
      </c>
      <c r="I3" t="s">
        <v>65</v>
      </c>
      <c r="K3">
        <v>1</v>
      </c>
      <c r="M3" s="3">
        <v>1017</v>
      </c>
    </row>
    <row r="4" spans="1:13" x14ac:dyDescent="0.25">
      <c r="A4">
        <v>40</v>
      </c>
      <c r="B4" t="s">
        <v>65</v>
      </c>
      <c r="E4" t="s">
        <v>65</v>
      </c>
      <c r="F4" t="s">
        <v>65</v>
      </c>
      <c r="I4" t="s">
        <v>65</v>
      </c>
      <c r="K4">
        <v>1</v>
      </c>
      <c r="M4" s="3">
        <v>1670</v>
      </c>
    </row>
    <row r="5" spans="1:13" x14ac:dyDescent="0.25">
      <c r="A5">
        <v>45</v>
      </c>
      <c r="B5" t="s">
        <v>65</v>
      </c>
      <c r="E5" t="s">
        <v>65</v>
      </c>
      <c r="F5" t="s">
        <v>65</v>
      </c>
      <c r="I5" t="s">
        <v>65</v>
      </c>
      <c r="K5">
        <v>1</v>
      </c>
      <c r="M5" s="3">
        <v>5322</v>
      </c>
    </row>
    <row r="6" spans="1:13" x14ac:dyDescent="0.25">
      <c r="A6">
        <v>46</v>
      </c>
      <c r="B6" t="s">
        <v>65</v>
      </c>
      <c r="E6" t="s">
        <v>65</v>
      </c>
      <c r="G6">
        <v>2</v>
      </c>
      <c r="I6" s="3">
        <v>14427</v>
      </c>
      <c r="K6">
        <v>1</v>
      </c>
      <c r="M6" s="3">
        <v>4895</v>
      </c>
    </row>
    <row r="7" spans="1:13" x14ac:dyDescent="0.25">
      <c r="A7">
        <v>48</v>
      </c>
      <c r="B7" t="s">
        <v>65</v>
      </c>
      <c r="E7" t="s">
        <v>65</v>
      </c>
      <c r="G7">
        <v>2</v>
      </c>
      <c r="I7" s="3">
        <v>17306</v>
      </c>
      <c r="K7">
        <v>2</v>
      </c>
      <c r="M7" s="3">
        <v>16389</v>
      </c>
    </row>
    <row r="8" spans="1:13" x14ac:dyDescent="0.25">
      <c r="A8">
        <v>49</v>
      </c>
      <c r="B8" t="s">
        <v>65</v>
      </c>
      <c r="E8" t="s">
        <v>65</v>
      </c>
      <c r="G8">
        <v>1</v>
      </c>
      <c r="I8" s="3">
        <v>1789</v>
      </c>
      <c r="J8" t="s">
        <v>65</v>
      </c>
      <c r="M8" t="s">
        <v>66</v>
      </c>
    </row>
    <row r="9" spans="1:13" x14ac:dyDescent="0.25">
      <c r="A9">
        <v>50</v>
      </c>
      <c r="B9" t="s">
        <v>65</v>
      </c>
      <c r="E9" t="s">
        <v>65</v>
      </c>
      <c r="G9">
        <v>2</v>
      </c>
      <c r="I9" s="3">
        <v>27658</v>
      </c>
      <c r="K9">
        <v>1</v>
      </c>
      <c r="M9" s="3">
        <v>3268</v>
      </c>
    </row>
    <row r="10" spans="1:13" x14ac:dyDescent="0.25">
      <c r="A10">
        <v>51</v>
      </c>
      <c r="B10">
        <v>1</v>
      </c>
      <c r="E10" s="3">
        <v>6000</v>
      </c>
      <c r="G10">
        <v>1</v>
      </c>
      <c r="I10" s="3">
        <v>1295</v>
      </c>
      <c r="K10">
        <v>1</v>
      </c>
      <c r="M10" s="3">
        <v>1114</v>
      </c>
    </row>
    <row r="11" spans="1:13" x14ac:dyDescent="0.25">
      <c r="A11">
        <v>52</v>
      </c>
      <c r="B11">
        <v>3</v>
      </c>
      <c r="E11" s="3">
        <v>67421</v>
      </c>
      <c r="F11" t="s">
        <v>65</v>
      </c>
      <c r="I11" t="s">
        <v>65</v>
      </c>
      <c r="K11">
        <v>1</v>
      </c>
      <c r="M11" s="3">
        <v>9311</v>
      </c>
    </row>
    <row r="12" spans="1:13" x14ac:dyDescent="0.25">
      <c r="A12">
        <v>53</v>
      </c>
      <c r="B12">
        <v>3</v>
      </c>
      <c r="E12" s="3">
        <v>57470</v>
      </c>
      <c r="G12">
        <v>1</v>
      </c>
      <c r="I12" s="3">
        <v>2790</v>
      </c>
      <c r="K12">
        <v>3</v>
      </c>
      <c r="M12" s="3">
        <v>9501</v>
      </c>
    </row>
    <row r="13" spans="1:13" x14ac:dyDescent="0.25">
      <c r="A13">
        <v>54</v>
      </c>
      <c r="B13">
        <v>1</v>
      </c>
      <c r="E13" s="3">
        <v>30002</v>
      </c>
      <c r="G13">
        <v>3</v>
      </c>
      <c r="I13" s="3">
        <v>29590</v>
      </c>
      <c r="K13">
        <v>4</v>
      </c>
      <c r="M13" s="3">
        <v>22118</v>
      </c>
    </row>
    <row r="14" spans="1:13" x14ac:dyDescent="0.25">
      <c r="A14">
        <v>55</v>
      </c>
      <c r="B14">
        <v>11</v>
      </c>
      <c r="E14" s="3">
        <v>149505</v>
      </c>
      <c r="G14">
        <v>3</v>
      </c>
      <c r="I14" s="3">
        <v>14557</v>
      </c>
      <c r="J14" t="s">
        <v>65</v>
      </c>
      <c r="M14" t="s">
        <v>66</v>
      </c>
    </row>
    <row r="15" spans="1:13" x14ac:dyDescent="0.25">
      <c r="A15">
        <v>56</v>
      </c>
      <c r="B15">
        <v>10</v>
      </c>
      <c r="E15" s="3">
        <v>284726</v>
      </c>
      <c r="G15">
        <v>1</v>
      </c>
      <c r="I15" s="3">
        <v>7875</v>
      </c>
      <c r="K15">
        <v>3</v>
      </c>
      <c r="M15" s="3">
        <v>8882</v>
      </c>
    </row>
    <row r="16" spans="1:13" x14ac:dyDescent="0.25">
      <c r="A16">
        <v>57</v>
      </c>
      <c r="B16">
        <v>17</v>
      </c>
      <c r="E16" s="3">
        <v>351556</v>
      </c>
      <c r="G16">
        <v>2</v>
      </c>
      <c r="I16" s="3">
        <v>20506</v>
      </c>
      <c r="K16">
        <v>5</v>
      </c>
      <c r="M16" s="3">
        <v>33053</v>
      </c>
    </row>
    <row r="17" spans="1:13" x14ac:dyDescent="0.25">
      <c r="A17">
        <v>58</v>
      </c>
      <c r="B17">
        <v>13</v>
      </c>
      <c r="E17" s="3">
        <v>291179</v>
      </c>
      <c r="G17">
        <v>2</v>
      </c>
      <c r="I17" s="3">
        <v>7684</v>
      </c>
      <c r="K17">
        <v>3</v>
      </c>
      <c r="M17" s="3">
        <v>34443</v>
      </c>
    </row>
    <row r="18" spans="1:13" x14ac:dyDescent="0.25">
      <c r="A18">
        <v>59</v>
      </c>
      <c r="B18">
        <v>19</v>
      </c>
      <c r="E18" s="3">
        <v>369192</v>
      </c>
      <c r="F18" t="s">
        <v>65</v>
      </c>
      <c r="I18" t="s">
        <v>65</v>
      </c>
      <c r="K18">
        <v>2</v>
      </c>
      <c r="M18" s="3">
        <v>11548</v>
      </c>
    </row>
    <row r="19" spans="1:13" x14ac:dyDescent="0.25">
      <c r="A19">
        <v>60</v>
      </c>
      <c r="B19">
        <v>25</v>
      </c>
      <c r="E19" s="3">
        <v>517379</v>
      </c>
      <c r="G19">
        <v>3</v>
      </c>
      <c r="I19" s="3">
        <v>25144</v>
      </c>
      <c r="K19">
        <v>3</v>
      </c>
      <c r="M19" s="3">
        <v>8538</v>
      </c>
    </row>
    <row r="20" spans="1:13" x14ac:dyDescent="0.25">
      <c r="A20">
        <v>61</v>
      </c>
      <c r="B20">
        <v>26</v>
      </c>
      <c r="E20" s="3">
        <v>427862</v>
      </c>
      <c r="G20">
        <v>3</v>
      </c>
      <c r="I20" s="3">
        <v>30989</v>
      </c>
      <c r="K20">
        <v>3</v>
      </c>
      <c r="M20" s="3">
        <v>13080</v>
      </c>
    </row>
    <row r="21" spans="1:13" x14ac:dyDescent="0.25">
      <c r="A21">
        <v>62</v>
      </c>
      <c r="B21">
        <v>45</v>
      </c>
      <c r="E21" s="3">
        <v>419429</v>
      </c>
      <c r="G21">
        <v>3</v>
      </c>
      <c r="I21" s="3">
        <v>39911</v>
      </c>
      <c r="K21">
        <v>2</v>
      </c>
      <c r="M21" s="3">
        <v>4734</v>
      </c>
    </row>
    <row r="22" spans="1:13" x14ac:dyDescent="0.25">
      <c r="A22">
        <v>63</v>
      </c>
      <c r="B22">
        <v>74</v>
      </c>
      <c r="E22" s="3">
        <v>789214</v>
      </c>
      <c r="G22">
        <v>3</v>
      </c>
      <c r="I22" s="3">
        <v>14419</v>
      </c>
      <c r="K22">
        <v>3</v>
      </c>
      <c r="M22" s="3">
        <v>11125</v>
      </c>
    </row>
    <row r="23" spans="1:13" x14ac:dyDescent="0.25">
      <c r="A23">
        <v>64</v>
      </c>
      <c r="B23">
        <v>74</v>
      </c>
      <c r="E23" s="3">
        <v>641196</v>
      </c>
      <c r="G23">
        <v>2</v>
      </c>
      <c r="I23" s="3">
        <v>9468</v>
      </c>
      <c r="K23">
        <v>3</v>
      </c>
      <c r="M23" s="3">
        <v>23369</v>
      </c>
    </row>
    <row r="24" spans="1:13" x14ac:dyDescent="0.25">
      <c r="A24">
        <v>65</v>
      </c>
      <c r="B24">
        <v>120</v>
      </c>
      <c r="E24" s="3">
        <v>1205324</v>
      </c>
      <c r="G24">
        <v>4</v>
      </c>
      <c r="I24" s="3">
        <v>25280</v>
      </c>
      <c r="K24">
        <v>4</v>
      </c>
      <c r="M24" s="3">
        <v>32005</v>
      </c>
    </row>
    <row r="25" spans="1:13" x14ac:dyDescent="0.25">
      <c r="A25">
        <v>66</v>
      </c>
      <c r="B25">
        <v>141</v>
      </c>
      <c r="E25" s="3">
        <v>1126630</v>
      </c>
      <c r="F25" t="s">
        <v>65</v>
      </c>
      <c r="I25" t="s">
        <v>65</v>
      </c>
      <c r="K25">
        <v>6</v>
      </c>
      <c r="M25" s="3">
        <v>57206</v>
      </c>
    </row>
    <row r="26" spans="1:13" x14ac:dyDescent="0.25">
      <c r="A26">
        <v>67</v>
      </c>
      <c r="B26">
        <v>156</v>
      </c>
      <c r="E26" s="3">
        <v>1170426</v>
      </c>
      <c r="G26">
        <v>1</v>
      </c>
      <c r="I26" s="3">
        <v>3713</v>
      </c>
      <c r="K26">
        <v>8</v>
      </c>
      <c r="M26" s="3">
        <v>35460</v>
      </c>
    </row>
    <row r="27" spans="1:13" x14ac:dyDescent="0.25">
      <c r="A27">
        <v>68</v>
      </c>
      <c r="B27">
        <v>114</v>
      </c>
      <c r="E27" s="3">
        <v>1035150</v>
      </c>
      <c r="G27">
        <v>2</v>
      </c>
      <c r="I27" s="3">
        <v>5241</v>
      </c>
      <c r="K27">
        <v>5</v>
      </c>
      <c r="M27" s="3">
        <v>22792</v>
      </c>
    </row>
    <row r="28" spans="1:13" x14ac:dyDescent="0.25">
      <c r="A28">
        <v>69</v>
      </c>
      <c r="B28">
        <v>133</v>
      </c>
      <c r="E28" s="3">
        <v>1081991</v>
      </c>
      <c r="G28">
        <v>3</v>
      </c>
      <c r="I28" s="3">
        <v>16464</v>
      </c>
      <c r="K28">
        <v>8</v>
      </c>
      <c r="M28" s="3">
        <v>43822</v>
      </c>
    </row>
    <row r="29" spans="1:13" x14ac:dyDescent="0.25">
      <c r="A29">
        <v>70</v>
      </c>
      <c r="B29">
        <v>107</v>
      </c>
      <c r="E29" s="3">
        <v>828213</v>
      </c>
      <c r="G29">
        <v>2</v>
      </c>
      <c r="I29" s="3">
        <v>11598</v>
      </c>
      <c r="K29">
        <v>7</v>
      </c>
      <c r="M29" s="3">
        <v>37881</v>
      </c>
    </row>
    <row r="30" spans="1:13" x14ac:dyDescent="0.25">
      <c r="A30">
        <v>71</v>
      </c>
      <c r="B30">
        <v>107</v>
      </c>
      <c r="E30" s="3">
        <v>970672</v>
      </c>
      <c r="G30">
        <v>1</v>
      </c>
      <c r="I30" s="3">
        <v>6149</v>
      </c>
      <c r="K30">
        <v>6</v>
      </c>
      <c r="M30" s="3">
        <v>43000</v>
      </c>
    </row>
    <row r="31" spans="1:13" x14ac:dyDescent="0.25">
      <c r="A31">
        <v>72</v>
      </c>
      <c r="B31">
        <v>98</v>
      </c>
      <c r="E31" s="3">
        <v>683614</v>
      </c>
      <c r="G31">
        <v>1</v>
      </c>
      <c r="I31" s="3">
        <v>1641</v>
      </c>
      <c r="K31">
        <v>2</v>
      </c>
      <c r="M31" s="3">
        <v>11534</v>
      </c>
    </row>
    <row r="32" spans="1:13" x14ac:dyDescent="0.25">
      <c r="A32">
        <v>73</v>
      </c>
      <c r="B32">
        <v>106</v>
      </c>
      <c r="E32" s="3">
        <v>878661</v>
      </c>
      <c r="G32">
        <v>2</v>
      </c>
      <c r="I32" s="3">
        <v>6849</v>
      </c>
      <c r="K32">
        <v>6</v>
      </c>
      <c r="M32" s="3">
        <v>11925</v>
      </c>
    </row>
    <row r="33" spans="1:13" x14ac:dyDescent="0.25">
      <c r="A33">
        <v>74</v>
      </c>
      <c r="B33">
        <v>79</v>
      </c>
      <c r="E33" s="3">
        <v>568822</v>
      </c>
      <c r="F33" t="s">
        <v>65</v>
      </c>
      <c r="I33" t="s">
        <v>65</v>
      </c>
      <c r="K33">
        <v>4</v>
      </c>
      <c r="M33" s="3">
        <v>25913</v>
      </c>
    </row>
    <row r="34" spans="1:13" x14ac:dyDescent="0.25">
      <c r="A34">
        <v>75</v>
      </c>
      <c r="B34">
        <v>73</v>
      </c>
      <c r="E34" s="3">
        <v>563380</v>
      </c>
      <c r="G34">
        <v>4</v>
      </c>
      <c r="I34" s="3">
        <v>17844</v>
      </c>
      <c r="K34">
        <v>5</v>
      </c>
      <c r="M34" s="3">
        <v>21017</v>
      </c>
    </row>
    <row r="35" spans="1:13" x14ac:dyDescent="0.25">
      <c r="A35">
        <v>76</v>
      </c>
      <c r="B35">
        <v>66</v>
      </c>
      <c r="E35" s="3">
        <v>386616</v>
      </c>
      <c r="G35">
        <v>1</v>
      </c>
      <c r="I35" s="3">
        <v>3096</v>
      </c>
      <c r="K35">
        <v>7</v>
      </c>
      <c r="M35" s="3">
        <v>36137</v>
      </c>
    </row>
    <row r="36" spans="1:13" x14ac:dyDescent="0.25">
      <c r="A36">
        <v>77</v>
      </c>
      <c r="B36">
        <v>56</v>
      </c>
      <c r="E36" s="3">
        <v>364582</v>
      </c>
      <c r="F36" t="s">
        <v>65</v>
      </c>
      <c r="I36" t="s">
        <v>65</v>
      </c>
      <c r="K36">
        <v>5</v>
      </c>
      <c r="M36" s="3">
        <v>33465</v>
      </c>
    </row>
    <row r="37" spans="1:13" x14ac:dyDescent="0.25">
      <c r="A37">
        <v>78</v>
      </c>
      <c r="B37">
        <v>51</v>
      </c>
      <c r="E37" s="3">
        <v>374201</v>
      </c>
      <c r="G37">
        <v>3</v>
      </c>
      <c r="I37" s="3">
        <v>8825</v>
      </c>
      <c r="K37">
        <v>5</v>
      </c>
      <c r="M37" s="3">
        <v>47977</v>
      </c>
    </row>
    <row r="38" spans="1:13" x14ac:dyDescent="0.25">
      <c r="A38">
        <v>79</v>
      </c>
      <c r="B38">
        <v>58</v>
      </c>
      <c r="E38" s="3">
        <v>347915</v>
      </c>
      <c r="G38">
        <v>1</v>
      </c>
      <c r="I38" s="3">
        <v>1057</v>
      </c>
      <c r="K38">
        <v>3</v>
      </c>
      <c r="M38" s="3">
        <v>11937</v>
      </c>
    </row>
    <row r="39" spans="1:13" x14ac:dyDescent="0.25">
      <c r="A39">
        <v>80</v>
      </c>
      <c r="B39">
        <v>37</v>
      </c>
      <c r="E39" s="3">
        <v>249915</v>
      </c>
      <c r="F39" t="s">
        <v>65</v>
      </c>
      <c r="I39" t="s">
        <v>65</v>
      </c>
      <c r="K39">
        <v>6</v>
      </c>
      <c r="M39" s="3">
        <v>31566</v>
      </c>
    </row>
    <row r="40" spans="1:13" x14ac:dyDescent="0.25">
      <c r="A40">
        <v>81</v>
      </c>
      <c r="B40">
        <v>31</v>
      </c>
      <c r="E40" s="3">
        <v>167111</v>
      </c>
      <c r="G40">
        <v>2</v>
      </c>
      <c r="I40" s="3">
        <v>5984</v>
      </c>
      <c r="J40">
        <v>10</v>
      </c>
      <c r="M40" s="3">
        <v>56860</v>
      </c>
    </row>
    <row r="41" spans="1:13" x14ac:dyDescent="0.25">
      <c r="A41">
        <v>82</v>
      </c>
      <c r="B41">
        <v>32</v>
      </c>
      <c r="E41" s="3">
        <v>207636</v>
      </c>
      <c r="F41" t="s">
        <v>65</v>
      </c>
      <c r="I41" t="s">
        <v>65</v>
      </c>
      <c r="K41">
        <v>3</v>
      </c>
      <c r="M41" s="3">
        <v>8673</v>
      </c>
    </row>
    <row r="42" spans="1:13" x14ac:dyDescent="0.25">
      <c r="A42">
        <v>83</v>
      </c>
      <c r="B42">
        <v>41</v>
      </c>
      <c r="E42" s="3">
        <v>190401</v>
      </c>
      <c r="F42" t="s">
        <v>65</v>
      </c>
      <c r="I42" t="s">
        <v>65</v>
      </c>
      <c r="K42">
        <v>8</v>
      </c>
      <c r="M42" s="3">
        <v>36423</v>
      </c>
    </row>
    <row r="43" spans="1:13" x14ac:dyDescent="0.25">
      <c r="A43">
        <v>84</v>
      </c>
      <c r="B43">
        <v>38</v>
      </c>
      <c r="E43" s="3">
        <v>192553</v>
      </c>
      <c r="F43" t="s">
        <v>65</v>
      </c>
      <c r="I43" t="s">
        <v>65</v>
      </c>
      <c r="K43">
        <v>7</v>
      </c>
      <c r="M43" s="3">
        <v>38703</v>
      </c>
    </row>
    <row r="44" spans="1:13" x14ac:dyDescent="0.25">
      <c r="A44">
        <v>85</v>
      </c>
      <c r="B44">
        <v>31</v>
      </c>
      <c r="C44" s="3">
        <v>157079</v>
      </c>
      <c r="D44" t="s">
        <v>65</v>
      </c>
      <c r="E44" t="s">
        <v>65</v>
      </c>
      <c r="G44">
        <v>4</v>
      </c>
      <c r="H44" s="3">
        <v>15571</v>
      </c>
    </row>
    <row r="45" spans="1:13" x14ac:dyDescent="0.25">
      <c r="A45">
        <v>86</v>
      </c>
      <c r="B45">
        <v>28</v>
      </c>
      <c r="C45" s="3">
        <v>166890</v>
      </c>
      <c r="D45" t="s">
        <v>65</v>
      </c>
      <c r="E45" t="s">
        <v>65</v>
      </c>
      <c r="G45">
        <v>1</v>
      </c>
      <c r="H45" s="3">
        <v>1012</v>
      </c>
    </row>
    <row r="46" spans="1:13" x14ac:dyDescent="0.25">
      <c r="A46">
        <v>87</v>
      </c>
      <c r="B46">
        <v>14</v>
      </c>
      <c r="C46" s="3">
        <v>69710</v>
      </c>
      <c r="D46" t="s">
        <v>65</v>
      </c>
      <c r="E46" t="s">
        <v>65</v>
      </c>
      <c r="G46">
        <v>6</v>
      </c>
      <c r="H46" s="3">
        <v>23344</v>
      </c>
    </row>
    <row r="47" spans="1:13" x14ac:dyDescent="0.25">
      <c r="A47">
        <v>88</v>
      </c>
      <c r="B47">
        <v>11</v>
      </c>
      <c r="C47" s="3">
        <v>52005</v>
      </c>
      <c r="D47" t="s">
        <v>65</v>
      </c>
      <c r="E47" t="s">
        <v>65</v>
      </c>
      <c r="F47" t="s">
        <v>65</v>
      </c>
      <c r="H47" t="s">
        <v>66</v>
      </c>
    </row>
    <row r="48" spans="1:13" x14ac:dyDescent="0.25">
      <c r="A48">
        <v>89</v>
      </c>
      <c r="B48">
        <v>19</v>
      </c>
      <c r="C48" s="3">
        <v>107648</v>
      </c>
      <c r="D48" t="s">
        <v>65</v>
      </c>
      <c r="E48" t="s">
        <v>65</v>
      </c>
      <c r="G48">
        <v>1</v>
      </c>
      <c r="H48" s="3">
        <v>1923</v>
      </c>
    </row>
    <row r="49" spans="1:8" x14ac:dyDescent="0.25">
      <c r="A49">
        <v>90</v>
      </c>
      <c r="B49">
        <v>12</v>
      </c>
      <c r="C49" s="3">
        <v>68647</v>
      </c>
      <c r="D49" t="s">
        <v>65</v>
      </c>
      <c r="E49" t="s">
        <v>65</v>
      </c>
      <c r="G49">
        <v>2</v>
      </c>
      <c r="H49" s="3">
        <v>5042</v>
      </c>
    </row>
    <row r="50" spans="1:8" x14ac:dyDescent="0.25">
      <c r="A50">
        <v>91</v>
      </c>
      <c r="B50">
        <v>5</v>
      </c>
      <c r="C50" s="3">
        <v>19799</v>
      </c>
      <c r="D50" t="s">
        <v>65</v>
      </c>
      <c r="E50" t="s">
        <v>65</v>
      </c>
      <c r="G50">
        <v>2</v>
      </c>
      <c r="H50" s="3">
        <v>11317</v>
      </c>
    </row>
    <row r="51" spans="1:8" x14ac:dyDescent="0.25">
      <c r="A51">
        <v>92</v>
      </c>
      <c r="B51">
        <v>10</v>
      </c>
      <c r="C51" s="3">
        <v>24060</v>
      </c>
      <c r="D51" t="s">
        <v>65</v>
      </c>
      <c r="E51" t="s">
        <v>65</v>
      </c>
      <c r="G51">
        <v>1</v>
      </c>
      <c r="H51" s="3">
        <v>1672</v>
      </c>
    </row>
    <row r="52" spans="1:8" x14ac:dyDescent="0.25">
      <c r="A52">
        <v>93</v>
      </c>
      <c r="B52">
        <v>3</v>
      </c>
      <c r="C52" s="3">
        <v>10076</v>
      </c>
      <c r="D52" t="s">
        <v>65</v>
      </c>
      <c r="E52" t="s">
        <v>65</v>
      </c>
      <c r="G52">
        <v>1</v>
      </c>
      <c r="H52" s="3">
        <v>2177</v>
      </c>
    </row>
    <row r="53" spans="1:8" x14ac:dyDescent="0.25">
      <c r="A53">
        <v>94</v>
      </c>
      <c r="B53">
        <v>4</v>
      </c>
      <c r="C53" s="3">
        <v>15582</v>
      </c>
      <c r="D53" t="s">
        <v>65</v>
      </c>
      <c r="E53" t="s">
        <v>65</v>
      </c>
      <c r="G53">
        <v>1</v>
      </c>
      <c r="H53" s="3">
        <v>5364</v>
      </c>
    </row>
    <row r="54" spans="1:8" x14ac:dyDescent="0.25">
      <c r="A54">
        <v>95</v>
      </c>
      <c r="B54">
        <v>7</v>
      </c>
      <c r="C54" s="3">
        <v>22559</v>
      </c>
      <c r="D54" t="s">
        <v>65</v>
      </c>
      <c r="E54" t="s">
        <v>65</v>
      </c>
      <c r="F54" t="s">
        <v>65</v>
      </c>
      <c r="H54" t="s">
        <v>66</v>
      </c>
    </row>
    <row r="55" spans="1:8" x14ac:dyDescent="0.25">
      <c r="A55">
        <v>96</v>
      </c>
      <c r="B55">
        <v>2</v>
      </c>
      <c r="C55" s="3">
        <v>15120</v>
      </c>
      <c r="D55" t="s">
        <v>65</v>
      </c>
      <c r="E55" t="s">
        <v>65</v>
      </c>
      <c r="G55">
        <v>1</v>
      </c>
      <c r="H55" s="3">
        <v>1770</v>
      </c>
    </row>
    <row r="56" spans="1:8" x14ac:dyDescent="0.25">
      <c r="A56">
        <v>97</v>
      </c>
      <c r="B56">
        <v>2</v>
      </c>
      <c r="C56" s="3">
        <v>3896</v>
      </c>
      <c r="D56" t="s">
        <v>65</v>
      </c>
      <c r="E56" t="s">
        <v>65</v>
      </c>
      <c r="F56" t="s">
        <v>65</v>
      </c>
      <c r="H56" t="s">
        <v>65</v>
      </c>
    </row>
    <row r="57" spans="1:8" x14ac:dyDescent="0.25">
      <c r="A57">
        <v>98</v>
      </c>
      <c r="B57">
        <v>2</v>
      </c>
      <c r="C57" s="3">
        <v>6955</v>
      </c>
      <c r="D57" t="s">
        <v>65</v>
      </c>
      <c r="E57" t="s">
        <v>65</v>
      </c>
      <c r="F57" t="s">
        <v>65</v>
      </c>
      <c r="H57" t="s">
        <v>66</v>
      </c>
    </row>
    <row r="58" spans="1:8" x14ac:dyDescent="0.25">
      <c r="A58">
        <v>100</v>
      </c>
      <c r="B58" t="s">
        <v>65</v>
      </c>
      <c r="C58" t="s">
        <v>65</v>
      </c>
      <c r="D58" t="s">
        <v>65</v>
      </c>
      <c r="E58" t="s">
        <v>65</v>
      </c>
      <c r="G58">
        <v>1</v>
      </c>
      <c r="H58">
        <v>786</v>
      </c>
    </row>
    <row r="59" spans="1:8" x14ac:dyDescent="0.25">
      <c r="A59" t="s">
        <v>69</v>
      </c>
      <c r="B59" s="3">
        <v>2116</v>
      </c>
      <c r="C59" s="3">
        <v>17735970</v>
      </c>
      <c r="D59">
        <v>61</v>
      </c>
      <c r="E59" s="3">
        <v>379149</v>
      </c>
      <c r="F59">
        <v>182</v>
      </c>
      <c r="H59" s="3">
        <v>950650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8" sqref="A18"/>
    </sheetView>
  </sheetViews>
  <sheetFormatPr defaultRowHeight="15" x14ac:dyDescent="0.25"/>
  <sheetData>
    <row r="1" spans="1:10" x14ac:dyDescent="0.25">
      <c r="D1" s="7" t="s">
        <v>25</v>
      </c>
      <c r="J1" t="s">
        <v>26</v>
      </c>
    </row>
    <row r="2" spans="1:10" x14ac:dyDescent="0.25">
      <c r="D2" s="7" t="s">
        <v>21</v>
      </c>
    </row>
    <row r="3" spans="1:10" x14ac:dyDescent="0.25">
      <c r="A3" t="s">
        <v>16</v>
      </c>
      <c r="B3" t="s">
        <v>20</v>
      </c>
      <c r="D3" s="7" t="s">
        <v>22</v>
      </c>
    </row>
    <row r="4" spans="1:10" x14ac:dyDescent="0.25">
      <c r="A4">
        <v>25</v>
      </c>
      <c r="B4" s="6">
        <v>7.79</v>
      </c>
      <c r="D4" s="7" t="s">
        <v>23</v>
      </c>
    </row>
    <row r="5" spans="1:10" x14ac:dyDescent="0.25">
      <c r="A5">
        <v>30</v>
      </c>
      <c r="B5" s="6">
        <v>7.33</v>
      </c>
      <c r="D5" s="7" t="s">
        <v>24</v>
      </c>
    </row>
    <row r="6" spans="1:10" x14ac:dyDescent="0.25">
      <c r="A6">
        <v>35</v>
      </c>
      <c r="B6" s="6">
        <v>7</v>
      </c>
    </row>
    <row r="7" spans="1:10" ht="14.45" x14ac:dyDescent="0.3">
      <c r="A7">
        <v>40</v>
      </c>
      <c r="B7" s="6">
        <v>6.75</v>
      </c>
    </row>
    <row r="8" spans="1:10" ht="14.45" x14ac:dyDescent="0.3">
      <c r="A8">
        <v>45</v>
      </c>
      <c r="B8" s="6">
        <v>6.27</v>
      </c>
    </row>
    <row r="9" spans="1:10" ht="14.45" x14ac:dyDescent="0.3">
      <c r="A9">
        <v>50</v>
      </c>
      <c r="B9" s="6">
        <v>5.7</v>
      </c>
    </row>
    <row r="10" spans="1:10" ht="14.45" x14ac:dyDescent="0.3">
      <c r="A10">
        <v>55</v>
      </c>
      <c r="B10" s="6">
        <v>5.2</v>
      </c>
    </row>
    <row r="11" spans="1:10" ht="14.45" x14ac:dyDescent="0.3">
      <c r="A11">
        <v>60</v>
      </c>
      <c r="B11" s="6">
        <v>4.67</v>
      </c>
    </row>
    <row r="12" spans="1:10" x14ac:dyDescent="0.25">
      <c r="A12">
        <v>64</v>
      </c>
      <c r="B12" s="6">
        <v>4.5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</cols>
  <sheetData>
    <row r="1" spans="1:7" x14ac:dyDescent="0.25">
      <c r="A1">
        <v>30</v>
      </c>
      <c r="B1">
        <v>4</v>
      </c>
      <c r="C1" s="3">
        <v>27263</v>
      </c>
      <c r="D1">
        <v>9</v>
      </c>
      <c r="E1" s="3">
        <v>89651</v>
      </c>
      <c r="F1">
        <v>41</v>
      </c>
      <c r="G1" s="3">
        <v>209512</v>
      </c>
    </row>
    <row r="2" spans="1:7" x14ac:dyDescent="0.25">
      <c r="A2">
        <v>31</v>
      </c>
      <c r="B2">
        <v>0</v>
      </c>
      <c r="C2">
        <v>0</v>
      </c>
      <c r="D2">
        <v>1</v>
      </c>
      <c r="E2" s="3">
        <v>34369</v>
      </c>
      <c r="F2">
        <v>0</v>
      </c>
      <c r="G2">
        <v>0</v>
      </c>
    </row>
    <row r="3" spans="1:7" x14ac:dyDescent="0.25">
      <c r="A3">
        <v>34</v>
      </c>
      <c r="B3">
        <v>0</v>
      </c>
      <c r="C3">
        <v>0</v>
      </c>
      <c r="D3">
        <v>1</v>
      </c>
      <c r="E3" s="3">
        <v>8892</v>
      </c>
      <c r="F3">
        <v>0</v>
      </c>
      <c r="G3">
        <v>0</v>
      </c>
    </row>
    <row r="4" spans="1:7" x14ac:dyDescent="0.25">
      <c r="A4">
        <v>35</v>
      </c>
      <c r="B4">
        <v>0</v>
      </c>
      <c r="C4">
        <v>0</v>
      </c>
      <c r="D4">
        <v>0</v>
      </c>
      <c r="E4">
        <v>0</v>
      </c>
      <c r="F4">
        <v>1</v>
      </c>
      <c r="G4" s="3">
        <v>7119</v>
      </c>
    </row>
    <row r="5" spans="1:7" x14ac:dyDescent="0.25">
      <c r="A5">
        <v>37</v>
      </c>
      <c r="B5">
        <v>0</v>
      </c>
      <c r="C5">
        <v>0</v>
      </c>
      <c r="D5">
        <v>1</v>
      </c>
      <c r="E5" s="3">
        <v>10640</v>
      </c>
      <c r="F5">
        <v>1</v>
      </c>
      <c r="G5" s="3">
        <v>5399</v>
      </c>
    </row>
    <row r="6" spans="1:7" x14ac:dyDescent="0.25">
      <c r="A6">
        <v>40</v>
      </c>
      <c r="B6">
        <v>0</v>
      </c>
      <c r="C6">
        <v>0</v>
      </c>
      <c r="D6">
        <v>1</v>
      </c>
      <c r="E6" s="3">
        <v>8057</v>
      </c>
      <c r="F6">
        <v>0</v>
      </c>
      <c r="G6">
        <v>0</v>
      </c>
    </row>
    <row r="7" spans="1:7" x14ac:dyDescent="0.25">
      <c r="A7">
        <v>41</v>
      </c>
      <c r="B7">
        <v>0</v>
      </c>
      <c r="C7">
        <v>0</v>
      </c>
      <c r="D7">
        <v>2</v>
      </c>
      <c r="E7" s="3">
        <v>35491</v>
      </c>
      <c r="F7">
        <v>1</v>
      </c>
      <c r="G7" s="3">
        <v>7744</v>
      </c>
    </row>
    <row r="8" spans="1:7" x14ac:dyDescent="0.25">
      <c r="A8">
        <v>42</v>
      </c>
      <c r="B8">
        <v>0</v>
      </c>
      <c r="C8">
        <v>0</v>
      </c>
      <c r="D8">
        <v>1</v>
      </c>
      <c r="E8" s="3">
        <v>9754</v>
      </c>
      <c r="F8">
        <v>2</v>
      </c>
      <c r="G8" s="3">
        <v>22715</v>
      </c>
    </row>
    <row r="9" spans="1:7" x14ac:dyDescent="0.25">
      <c r="A9">
        <v>43</v>
      </c>
      <c r="B9">
        <v>1</v>
      </c>
      <c r="C9" s="3">
        <v>2547</v>
      </c>
      <c r="D9">
        <v>1</v>
      </c>
      <c r="E9" s="3">
        <v>17502</v>
      </c>
      <c r="F9">
        <v>1</v>
      </c>
      <c r="G9" s="3">
        <v>9846</v>
      </c>
    </row>
    <row r="10" spans="1:7" x14ac:dyDescent="0.25">
      <c r="A10">
        <v>44</v>
      </c>
      <c r="B10">
        <v>0</v>
      </c>
      <c r="C10">
        <v>0</v>
      </c>
      <c r="D10">
        <v>4</v>
      </c>
      <c r="E10" s="3">
        <v>54235</v>
      </c>
      <c r="F10">
        <v>1</v>
      </c>
      <c r="G10" s="3">
        <v>11480</v>
      </c>
    </row>
    <row r="11" spans="1:7" x14ac:dyDescent="0.25">
      <c r="A11">
        <v>45</v>
      </c>
      <c r="B11">
        <v>0</v>
      </c>
      <c r="C11">
        <v>0</v>
      </c>
      <c r="D11">
        <v>1</v>
      </c>
      <c r="E11" s="3">
        <v>10935</v>
      </c>
      <c r="F11">
        <v>0</v>
      </c>
      <c r="G11">
        <v>0</v>
      </c>
    </row>
    <row r="12" spans="1:7" x14ac:dyDescent="0.25">
      <c r="A12">
        <v>46</v>
      </c>
      <c r="B12">
        <v>4</v>
      </c>
      <c r="C12" s="3">
        <v>64593</v>
      </c>
      <c r="D12">
        <v>3</v>
      </c>
      <c r="E12" s="3">
        <v>66868</v>
      </c>
      <c r="F12">
        <v>1</v>
      </c>
      <c r="G12" s="3">
        <v>7526</v>
      </c>
    </row>
    <row r="13" spans="1:7" x14ac:dyDescent="0.25">
      <c r="A13">
        <v>47</v>
      </c>
      <c r="B13">
        <v>4</v>
      </c>
      <c r="C13" s="3">
        <v>101427</v>
      </c>
      <c r="D13">
        <v>2</v>
      </c>
      <c r="E13" s="3">
        <v>54331</v>
      </c>
      <c r="F13">
        <v>0</v>
      </c>
      <c r="G13">
        <v>0</v>
      </c>
    </row>
    <row r="14" spans="1:7" x14ac:dyDescent="0.25">
      <c r="A14">
        <v>48</v>
      </c>
      <c r="B14">
        <v>1</v>
      </c>
      <c r="C14" s="3">
        <v>21618</v>
      </c>
      <c r="D14">
        <v>3</v>
      </c>
      <c r="E14" s="3">
        <v>61618</v>
      </c>
      <c r="F14">
        <v>1</v>
      </c>
      <c r="G14" s="3">
        <v>7397</v>
      </c>
    </row>
    <row r="15" spans="1:7" x14ac:dyDescent="0.25">
      <c r="A15">
        <v>49</v>
      </c>
      <c r="B15">
        <v>0</v>
      </c>
      <c r="C15">
        <v>0</v>
      </c>
      <c r="D15">
        <v>9</v>
      </c>
      <c r="E15" s="3">
        <v>176892</v>
      </c>
      <c r="F15">
        <v>2</v>
      </c>
      <c r="G15" s="3">
        <v>32175</v>
      </c>
    </row>
    <row r="16" spans="1:7" x14ac:dyDescent="0.25">
      <c r="A16">
        <v>50</v>
      </c>
      <c r="B16">
        <v>12</v>
      </c>
      <c r="C16" s="3">
        <v>579076</v>
      </c>
      <c r="D16">
        <v>4</v>
      </c>
      <c r="E16" s="3">
        <v>91355</v>
      </c>
      <c r="F16">
        <v>3</v>
      </c>
      <c r="G16" s="3">
        <v>45930</v>
      </c>
    </row>
    <row r="17" spans="1:7" x14ac:dyDescent="0.25">
      <c r="A17">
        <v>51</v>
      </c>
      <c r="B17">
        <v>20</v>
      </c>
      <c r="C17" s="3">
        <v>908635</v>
      </c>
      <c r="D17">
        <v>8</v>
      </c>
      <c r="E17" s="3">
        <v>104088</v>
      </c>
      <c r="F17">
        <v>0</v>
      </c>
      <c r="G17">
        <v>0</v>
      </c>
    </row>
    <row r="18" spans="1:7" x14ac:dyDescent="0.25">
      <c r="A18">
        <v>52</v>
      </c>
      <c r="B18">
        <v>24</v>
      </c>
      <c r="C18" s="3">
        <v>750618</v>
      </c>
      <c r="D18">
        <v>12</v>
      </c>
      <c r="E18" s="3">
        <v>174157</v>
      </c>
      <c r="F18">
        <v>2</v>
      </c>
      <c r="G18" s="3">
        <v>17478</v>
      </c>
    </row>
    <row r="19" spans="1:7" x14ac:dyDescent="0.25">
      <c r="A19">
        <v>53</v>
      </c>
      <c r="B19">
        <v>22</v>
      </c>
      <c r="C19" s="3">
        <v>723357</v>
      </c>
      <c r="D19">
        <v>10</v>
      </c>
      <c r="E19" s="3">
        <v>136130</v>
      </c>
      <c r="F19">
        <v>3</v>
      </c>
      <c r="G19" s="3">
        <v>44905</v>
      </c>
    </row>
    <row r="20" spans="1:7" x14ac:dyDescent="0.25">
      <c r="A20">
        <v>54</v>
      </c>
      <c r="B20">
        <v>36</v>
      </c>
      <c r="C20" s="3">
        <v>1334748</v>
      </c>
      <c r="D20">
        <v>4</v>
      </c>
      <c r="E20" s="3">
        <v>54399</v>
      </c>
      <c r="F20">
        <v>3</v>
      </c>
      <c r="G20" s="3">
        <v>17213</v>
      </c>
    </row>
    <row r="21" spans="1:7" x14ac:dyDescent="0.25">
      <c r="A21">
        <v>55</v>
      </c>
      <c r="B21">
        <v>48</v>
      </c>
      <c r="C21" s="3">
        <v>1352705</v>
      </c>
      <c r="D21">
        <v>9</v>
      </c>
      <c r="E21" s="3">
        <v>100318</v>
      </c>
      <c r="F21">
        <v>1</v>
      </c>
      <c r="G21" s="3">
        <v>8815</v>
      </c>
    </row>
    <row r="22" spans="1:7" x14ac:dyDescent="0.25">
      <c r="A22">
        <v>56</v>
      </c>
      <c r="B22">
        <v>57</v>
      </c>
      <c r="C22" s="3">
        <v>1868859</v>
      </c>
      <c r="D22">
        <v>7</v>
      </c>
      <c r="E22" s="3">
        <v>86923</v>
      </c>
      <c r="F22">
        <v>8</v>
      </c>
      <c r="G22" s="3">
        <v>99261</v>
      </c>
    </row>
    <row r="23" spans="1:7" x14ac:dyDescent="0.25">
      <c r="A23">
        <v>57</v>
      </c>
      <c r="B23">
        <v>73</v>
      </c>
      <c r="C23" s="3">
        <v>2285070</v>
      </c>
      <c r="D23">
        <v>12</v>
      </c>
      <c r="E23" s="3">
        <v>207683</v>
      </c>
      <c r="F23">
        <v>4</v>
      </c>
      <c r="G23" s="3">
        <v>59053</v>
      </c>
    </row>
    <row r="24" spans="1:7" x14ac:dyDescent="0.25">
      <c r="A24">
        <v>58</v>
      </c>
      <c r="B24">
        <v>81</v>
      </c>
      <c r="C24" s="3">
        <v>1912129</v>
      </c>
      <c r="D24">
        <v>7</v>
      </c>
      <c r="E24" s="3">
        <v>111551</v>
      </c>
      <c r="F24">
        <v>8</v>
      </c>
      <c r="G24" s="3">
        <v>97943</v>
      </c>
    </row>
    <row r="25" spans="1:7" x14ac:dyDescent="0.25">
      <c r="A25">
        <v>59</v>
      </c>
      <c r="B25">
        <v>103</v>
      </c>
      <c r="C25" s="3">
        <v>2821045</v>
      </c>
      <c r="D25">
        <v>15</v>
      </c>
      <c r="E25" s="3">
        <v>173672</v>
      </c>
      <c r="F25">
        <v>9</v>
      </c>
      <c r="G25" s="3">
        <v>89402</v>
      </c>
    </row>
    <row r="26" spans="1:7" x14ac:dyDescent="0.25">
      <c r="A26">
        <v>60</v>
      </c>
      <c r="B26">
        <v>127</v>
      </c>
      <c r="C26" s="3">
        <v>2796194</v>
      </c>
      <c r="D26">
        <v>15</v>
      </c>
      <c r="E26" s="3">
        <v>162746</v>
      </c>
      <c r="F26">
        <v>13</v>
      </c>
      <c r="G26" s="3">
        <v>204485</v>
      </c>
    </row>
    <row r="27" spans="1:7" x14ac:dyDescent="0.25">
      <c r="A27">
        <v>61</v>
      </c>
      <c r="B27">
        <v>111</v>
      </c>
      <c r="C27" s="3">
        <v>2843392</v>
      </c>
      <c r="D27">
        <v>20</v>
      </c>
      <c r="E27" s="3">
        <v>271867</v>
      </c>
      <c r="F27">
        <v>12</v>
      </c>
      <c r="G27" s="3">
        <v>164665</v>
      </c>
    </row>
    <row r="28" spans="1:7" x14ac:dyDescent="0.25">
      <c r="A28">
        <v>62</v>
      </c>
      <c r="B28">
        <v>204</v>
      </c>
      <c r="C28" s="3">
        <v>3576208</v>
      </c>
      <c r="D28">
        <v>25</v>
      </c>
      <c r="E28" s="3">
        <v>256924</v>
      </c>
      <c r="F28">
        <v>5</v>
      </c>
      <c r="G28" s="3">
        <v>65990</v>
      </c>
    </row>
    <row r="29" spans="1:7" x14ac:dyDescent="0.25">
      <c r="A29">
        <v>63</v>
      </c>
      <c r="B29">
        <v>235</v>
      </c>
      <c r="C29" s="3">
        <v>4556813</v>
      </c>
      <c r="D29">
        <v>17</v>
      </c>
      <c r="E29" s="3">
        <v>223089</v>
      </c>
      <c r="F29">
        <v>10</v>
      </c>
      <c r="G29" s="3">
        <v>112343</v>
      </c>
    </row>
    <row r="30" spans="1:7" x14ac:dyDescent="0.25">
      <c r="A30">
        <v>64</v>
      </c>
      <c r="B30">
        <v>284</v>
      </c>
      <c r="C30" s="3">
        <v>5703029</v>
      </c>
      <c r="D30">
        <v>19</v>
      </c>
      <c r="E30" s="3">
        <v>242800</v>
      </c>
      <c r="F30">
        <v>8</v>
      </c>
      <c r="G30" s="3">
        <v>92806</v>
      </c>
    </row>
    <row r="31" spans="1:7" x14ac:dyDescent="0.25">
      <c r="A31">
        <v>65</v>
      </c>
      <c r="B31">
        <v>270</v>
      </c>
      <c r="C31" s="3">
        <v>4868945</v>
      </c>
      <c r="D31">
        <v>24</v>
      </c>
      <c r="E31" s="3">
        <v>303759</v>
      </c>
      <c r="F31">
        <v>10</v>
      </c>
      <c r="G31" s="3">
        <v>92383</v>
      </c>
    </row>
    <row r="32" spans="1:7" x14ac:dyDescent="0.25">
      <c r="A32">
        <v>66</v>
      </c>
      <c r="B32">
        <v>307</v>
      </c>
      <c r="C32" s="3">
        <v>5646371</v>
      </c>
      <c r="D32">
        <v>14</v>
      </c>
      <c r="E32" s="3">
        <v>167630</v>
      </c>
      <c r="F32">
        <v>12</v>
      </c>
      <c r="G32" s="3">
        <v>197955</v>
      </c>
    </row>
    <row r="33" spans="1:7" x14ac:dyDescent="0.25">
      <c r="A33">
        <v>67</v>
      </c>
      <c r="B33">
        <v>324</v>
      </c>
      <c r="C33" s="3">
        <v>6392952</v>
      </c>
      <c r="D33">
        <v>13</v>
      </c>
      <c r="E33" s="3">
        <v>216843</v>
      </c>
      <c r="F33">
        <v>14</v>
      </c>
      <c r="G33" s="3">
        <v>179318</v>
      </c>
    </row>
    <row r="34" spans="1:7" x14ac:dyDescent="0.25">
      <c r="A34">
        <v>68</v>
      </c>
      <c r="B34">
        <v>225</v>
      </c>
      <c r="C34" s="3">
        <v>4408267</v>
      </c>
      <c r="D34">
        <v>13</v>
      </c>
      <c r="E34" s="3">
        <v>154519</v>
      </c>
      <c r="F34">
        <v>10</v>
      </c>
      <c r="G34" s="3">
        <v>121469</v>
      </c>
    </row>
    <row r="35" spans="1:7" x14ac:dyDescent="0.25">
      <c r="A35">
        <v>69</v>
      </c>
      <c r="B35">
        <v>212</v>
      </c>
      <c r="C35" s="3">
        <v>3759615</v>
      </c>
      <c r="D35">
        <v>7</v>
      </c>
      <c r="E35" s="3">
        <v>82912</v>
      </c>
      <c r="F35">
        <v>15</v>
      </c>
      <c r="G35" s="3">
        <v>131748</v>
      </c>
    </row>
    <row r="36" spans="1:7" x14ac:dyDescent="0.25">
      <c r="A36">
        <v>70</v>
      </c>
      <c r="B36">
        <v>202</v>
      </c>
      <c r="C36" s="3">
        <v>3359978</v>
      </c>
      <c r="D36">
        <v>13</v>
      </c>
      <c r="E36" s="3">
        <v>167271</v>
      </c>
      <c r="F36">
        <v>21</v>
      </c>
      <c r="G36" s="3">
        <v>283635</v>
      </c>
    </row>
    <row r="37" spans="1:7" x14ac:dyDescent="0.25">
      <c r="A37">
        <v>71</v>
      </c>
      <c r="B37">
        <v>221</v>
      </c>
      <c r="C37" s="3">
        <v>4040894</v>
      </c>
      <c r="D37">
        <v>10</v>
      </c>
      <c r="E37" s="3">
        <v>109072</v>
      </c>
      <c r="F37">
        <v>20</v>
      </c>
      <c r="G37" s="3">
        <v>259471</v>
      </c>
    </row>
    <row r="38" spans="1:7" x14ac:dyDescent="0.25">
      <c r="A38">
        <v>72</v>
      </c>
      <c r="B38">
        <v>183</v>
      </c>
      <c r="C38" s="3">
        <v>3437734</v>
      </c>
      <c r="D38">
        <v>9</v>
      </c>
      <c r="E38" s="3">
        <v>84937</v>
      </c>
      <c r="F38">
        <v>19</v>
      </c>
      <c r="G38" s="3">
        <v>236974</v>
      </c>
    </row>
    <row r="39" spans="1:7" x14ac:dyDescent="0.25">
      <c r="A39">
        <v>73</v>
      </c>
      <c r="B39">
        <v>158</v>
      </c>
      <c r="C39" s="3">
        <v>2469379</v>
      </c>
      <c r="D39">
        <v>7</v>
      </c>
      <c r="E39" s="3">
        <v>78073</v>
      </c>
      <c r="F39">
        <v>17</v>
      </c>
      <c r="G39" s="3">
        <v>227373</v>
      </c>
    </row>
    <row r="40" spans="1:7" x14ac:dyDescent="0.25">
      <c r="A40">
        <v>74</v>
      </c>
      <c r="B40">
        <v>141</v>
      </c>
      <c r="C40" s="3">
        <v>2166233</v>
      </c>
      <c r="D40">
        <v>9</v>
      </c>
      <c r="E40" s="3">
        <v>139636</v>
      </c>
      <c r="F40">
        <v>18</v>
      </c>
      <c r="G40" s="3">
        <v>157937</v>
      </c>
    </row>
    <row r="41" spans="1:7" x14ac:dyDescent="0.25">
      <c r="A41">
        <v>75</v>
      </c>
      <c r="B41">
        <v>130</v>
      </c>
      <c r="C41" s="3">
        <v>1840127</v>
      </c>
      <c r="D41">
        <v>3</v>
      </c>
      <c r="E41" s="3">
        <v>16828</v>
      </c>
      <c r="F41">
        <v>21</v>
      </c>
      <c r="G41" s="3">
        <v>237347</v>
      </c>
    </row>
    <row r="42" spans="1:7" x14ac:dyDescent="0.25">
      <c r="A42">
        <v>76</v>
      </c>
      <c r="B42">
        <v>109</v>
      </c>
      <c r="C42" s="3">
        <v>1677959</v>
      </c>
      <c r="D42">
        <v>9</v>
      </c>
      <c r="E42" s="3">
        <v>105475</v>
      </c>
      <c r="F42">
        <v>12</v>
      </c>
      <c r="G42" s="3">
        <v>142065</v>
      </c>
    </row>
    <row r="43" spans="1:7" x14ac:dyDescent="0.25">
      <c r="A43">
        <v>77</v>
      </c>
      <c r="B43">
        <v>109</v>
      </c>
      <c r="C43" s="3">
        <v>1731256</v>
      </c>
      <c r="D43">
        <v>6</v>
      </c>
      <c r="E43" s="3">
        <v>48659</v>
      </c>
      <c r="F43">
        <v>12</v>
      </c>
      <c r="G43" s="3">
        <v>115698</v>
      </c>
    </row>
    <row r="44" spans="1:7" x14ac:dyDescent="0.25">
      <c r="A44">
        <v>78</v>
      </c>
      <c r="B44">
        <v>128</v>
      </c>
      <c r="C44" s="3">
        <v>1973053</v>
      </c>
      <c r="D44">
        <v>4</v>
      </c>
      <c r="E44" s="3">
        <v>30939</v>
      </c>
      <c r="F44">
        <v>20</v>
      </c>
      <c r="G44" s="3">
        <v>252457</v>
      </c>
    </row>
    <row r="45" spans="1:7" x14ac:dyDescent="0.25">
      <c r="A45">
        <v>79</v>
      </c>
      <c r="B45">
        <v>99</v>
      </c>
      <c r="C45" s="3">
        <v>1674200</v>
      </c>
      <c r="D45">
        <v>4</v>
      </c>
      <c r="E45" s="3">
        <v>34698</v>
      </c>
      <c r="F45">
        <v>22</v>
      </c>
      <c r="G45" s="3">
        <v>220638</v>
      </c>
    </row>
    <row r="46" spans="1:7" x14ac:dyDescent="0.25">
      <c r="A46">
        <v>80</v>
      </c>
      <c r="B46">
        <v>98</v>
      </c>
      <c r="C46" s="3">
        <v>1489921</v>
      </c>
      <c r="D46">
        <v>3</v>
      </c>
      <c r="E46" s="3">
        <v>46995</v>
      </c>
      <c r="F46">
        <v>11</v>
      </c>
      <c r="G46" s="3">
        <v>89446</v>
      </c>
    </row>
    <row r="47" spans="1:7" x14ac:dyDescent="0.25">
      <c r="A47">
        <v>81</v>
      </c>
      <c r="B47">
        <v>96</v>
      </c>
      <c r="C47" s="3">
        <v>1344168</v>
      </c>
      <c r="D47">
        <v>2</v>
      </c>
      <c r="E47" s="3">
        <v>11836</v>
      </c>
      <c r="F47">
        <v>12</v>
      </c>
      <c r="G47" s="3">
        <v>164683</v>
      </c>
    </row>
    <row r="48" spans="1:7" x14ac:dyDescent="0.25">
      <c r="A48">
        <v>82</v>
      </c>
      <c r="B48">
        <v>72</v>
      </c>
      <c r="C48" s="3">
        <v>781187</v>
      </c>
      <c r="D48">
        <v>2</v>
      </c>
      <c r="E48" s="3">
        <v>16610</v>
      </c>
      <c r="F48">
        <v>15</v>
      </c>
      <c r="G48" s="3">
        <v>150101</v>
      </c>
    </row>
    <row r="49" spans="1:7" x14ac:dyDescent="0.25">
      <c r="A49">
        <v>83</v>
      </c>
      <c r="B49">
        <v>85</v>
      </c>
      <c r="C49" s="3">
        <v>1095009</v>
      </c>
      <c r="D49">
        <v>2</v>
      </c>
      <c r="E49" s="3">
        <v>10561</v>
      </c>
      <c r="F49">
        <v>20</v>
      </c>
      <c r="G49" s="3">
        <v>273078</v>
      </c>
    </row>
    <row r="50" spans="1:7" x14ac:dyDescent="0.25">
      <c r="A50">
        <v>84</v>
      </c>
      <c r="B50">
        <v>75</v>
      </c>
      <c r="C50" s="3">
        <v>930169</v>
      </c>
      <c r="D50">
        <v>2</v>
      </c>
      <c r="E50" s="3">
        <v>23435</v>
      </c>
      <c r="F50">
        <v>17</v>
      </c>
      <c r="G50" s="3">
        <v>196541</v>
      </c>
    </row>
    <row r="51" spans="1:7" x14ac:dyDescent="0.25">
      <c r="A51">
        <v>85</v>
      </c>
      <c r="B51">
        <v>58</v>
      </c>
      <c r="C51" s="3">
        <v>758585</v>
      </c>
      <c r="D51">
        <v>1</v>
      </c>
      <c r="E51" s="3">
        <v>4816</v>
      </c>
      <c r="F51">
        <v>14</v>
      </c>
      <c r="G51" s="3">
        <v>163751</v>
      </c>
    </row>
    <row r="52" spans="1:7" x14ac:dyDescent="0.25">
      <c r="A52">
        <v>86</v>
      </c>
      <c r="B52">
        <v>44</v>
      </c>
      <c r="C52" s="3">
        <v>592978</v>
      </c>
      <c r="D52">
        <v>2</v>
      </c>
      <c r="E52" s="3">
        <v>34421</v>
      </c>
      <c r="F52">
        <v>18</v>
      </c>
      <c r="G52" s="3">
        <v>170413</v>
      </c>
    </row>
    <row r="53" spans="1:7" x14ac:dyDescent="0.25">
      <c r="A53">
        <v>87</v>
      </c>
      <c r="B53">
        <v>45</v>
      </c>
      <c r="C53" s="3">
        <v>588716</v>
      </c>
      <c r="D53">
        <v>1</v>
      </c>
      <c r="E53" s="3">
        <v>7203</v>
      </c>
      <c r="F53">
        <v>5</v>
      </c>
      <c r="G53" s="3">
        <v>32709</v>
      </c>
    </row>
    <row r="54" spans="1:7" x14ac:dyDescent="0.25">
      <c r="A54">
        <v>88</v>
      </c>
      <c r="B54">
        <v>45</v>
      </c>
      <c r="C54" s="3">
        <v>557992</v>
      </c>
      <c r="D54">
        <v>0</v>
      </c>
      <c r="E54">
        <v>0</v>
      </c>
      <c r="F54">
        <v>12</v>
      </c>
      <c r="G54" s="3">
        <v>111602</v>
      </c>
    </row>
    <row r="55" spans="1:7" x14ac:dyDescent="0.25">
      <c r="A55">
        <v>89</v>
      </c>
      <c r="B55">
        <v>32</v>
      </c>
      <c r="C55" s="3">
        <v>341279</v>
      </c>
      <c r="D55">
        <v>0</v>
      </c>
      <c r="E55">
        <v>0</v>
      </c>
      <c r="F55">
        <v>11</v>
      </c>
      <c r="G55" s="3">
        <v>117245</v>
      </c>
    </row>
    <row r="56" spans="1:7" x14ac:dyDescent="0.25">
      <c r="A56">
        <v>90</v>
      </c>
      <c r="B56">
        <v>22</v>
      </c>
      <c r="C56" s="3">
        <v>226098</v>
      </c>
      <c r="D56">
        <v>1</v>
      </c>
      <c r="E56" s="3">
        <v>9110</v>
      </c>
      <c r="F56">
        <v>8</v>
      </c>
      <c r="G56" s="3">
        <v>42947</v>
      </c>
    </row>
    <row r="57" spans="1:7" x14ac:dyDescent="0.25">
      <c r="A57">
        <v>91</v>
      </c>
      <c r="B57">
        <v>28</v>
      </c>
      <c r="C57" s="3">
        <v>303793</v>
      </c>
      <c r="D57">
        <v>2</v>
      </c>
      <c r="E57" s="3">
        <v>26063</v>
      </c>
      <c r="F57">
        <v>4</v>
      </c>
      <c r="G57" s="3">
        <v>66281</v>
      </c>
    </row>
    <row r="58" spans="1:7" x14ac:dyDescent="0.25">
      <c r="A58">
        <v>92</v>
      </c>
      <c r="B58">
        <v>12</v>
      </c>
      <c r="C58" s="3">
        <v>89985</v>
      </c>
      <c r="D58">
        <v>0</v>
      </c>
      <c r="E58">
        <v>0</v>
      </c>
      <c r="F58">
        <v>5</v>
      </c>
      <c r="G58" s="3">
        <v>60456</v>
      </c>
    </row>
    <row r="59" spans="1:7" x14ac:dyDescent="0.25">
      <c r="A59">
        <v>93</v>
      </c>
      <c r="B59">
        <v>13</v>
      </c>
      <c r="C59" s="3">
        <v>103977</v>
      </c>
      <c r="D59">
        <v>1</v>
      </c>
      <c r="E59" s="3">
        <v>14648</v>
      </c>
      <c r="F59">
        <v>11</v>
      </c>
      <c r="G59" s="3">
        <v>127258</v>
      </c>
    </row>
    <row r="60" spans="1:7" x14ac:dyDescent="0.25">
      <c r="A60">
        <v>94</v>
      </c>
      <c r="B60">
        <v>15</v>
      </c>
      <c r="C60" s="3">
        <v>108912</v>
      </c>
      <c r="D60">
        <v>0</v>
      </c>
      <c r="E60">
        <v>0</v>
      </c>
      <c r="F60">
        <v>1</v>
      </c>
      <c r="G60" s="3">
        <v>7665</v>
      </c>
    </row>
    <row r="61" spans="1:7" x14ac:dyDescent="0.25">
      <c r="A61">
        <v>95</v>
      </c>
      <c r="B61">
        <v>10</v>
      </c>
      <c r="C61" s="3">
        <v>92073</v>
      </c>
      <c r="D61">
        <v>0</v>
      </c>
      <c r="E61">
        <v>0</v>
      </c>
      <c r="F61">
        <v>4</v>
      </c>
      <c r="G61" s="3">
        <v>39500</v>
      </c>
    </row>
    <row r="62" spans="1:7" x14ac:dyDescent="0.25">
      <c r="A62">
        <v>96</v>
      </c>
      <c r="B62">
        <v>5</v>
      </c>
      <c r="C62" s="3">
        <v>55999</v>
      </c>
      <c r="D62">
        <v>1</v>
      </c>
      <c r="E62" s="3">
        <v>9917</v>
      </c>
      <c r="F62">
        <v>3</v>
      </c>
      <c r="G62" s="3">
        <v>30039</v>
      </c>
    </row>
    <row r="63" spans="1:7" x14ac:dyDescent="0.25">
      <c r="A63">
        <v>97</v>
      </c>
      <c r="B63">
        <v>2</v>
      </c>
      <c r="C63" s="3">
        <v>12791</v>
      </c>
      <c r="D63">
        <v>0</v>
      </c>
      <c r="E63">
        <v>0</v>
      </c>
      <c r="F63">
        <v>1</v>
      </c>
      <c r="G63" s="3">
        <v>38411</v>
      </c>
    </row>
    <row r="64" spans="1:7" x14ac:dyDescent="0.25">
      <c r="A64">
        <v>98</v>
      </c>
      <c r="B64">
        <v>4</v>
      </c>
      <c r="C64" s="3">
        <v>37515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99</v>
      </c>
      <c r="B65">
        <v>2</v>
      </c>
      <c r="C65" s="3">
        <v>49780</v>
      </c>
      <c r="D65">
        <v>0</v>
      </c>
      <c r="E65">
        <v>0</v>
      </c>
      <c r="F65">
        <v>0</v>
      </c>
      <c r="G65">
        <v>0</v>
      </c>
    </row>
    <row r="66" spans="1:7" x14ac:dyDescent="0.25">
      <c r="A66">
        <v>100</v>
      </c>
      <c r="B66">
        <v>0</v>
      </c>
      <c r="C66">
        <v>0</v>
      </c>
      <c r="D66">
        <v>0</v>
      </c>
      <c r="E66">
        <v>0</v>
      </c>
      <c r="F66">
        <v>1</v>
      </c>
      <c r="G66" s="3">
        <v>14433</v>
      </c>
    </row>
    <row r="67" spans="1:7" x14ac:dyDescent="0.25">
      <c r="A67">
        <v>102</v>
      </c>
      <c r="B67">
        <v>1</v>
      </c>
      <c r="C67" s="3">
        <v>2669</v>
      </c>
      <c r="D67">
        <v>0</v>
      </c>
      <c r="E67">
        <v>0</v>
      </c>
      <c r="F67">
        <v>0</v>
      </c>
      <c r="G67">
        <v>0</v>
      </c>
    </row>
    <row r="68" spans="1:7" x14ac:dyDescent="0.25">
      <c r="A68">
        <v>103</v>
      </c>
      <c r="B68">
        <v>0</v>
      </c>
      <c r="C68">
        <v>0</v>
      </c>
      <c r="D68">
        <v>0</v>
      </c>
      <c r="E68">
        <v>0</v>
      </c>
      <c r="F68">
        <v>1</v>
      </c>
      <c r="G68" s="3">
        <v>22590</v>
      </c>
    </row>
    <row r="69" spans="1:7" x14ac:dyDescent="0.25">
      <c r="A69">
        <v>111</v>
      </c>
      <c r="B69">
        <v>0</v>
      </c>
      <c r="C69">
        <v>0</v>
      </c>
      <c r="D69">
        <v>0</v>
      </c>
      <c r="E69">
        <v>0</v>
      </c>
      <c r="F69">
        <v>1</v>
      </c>
      <c r="G69" s="3">
        <v>2286</v>
      </c>
    </row>
    <row r="71" spans="1:7" x14ac:dyDescent="0.25">
      <c r="B71">
        <f t="shared" ref="B71:G71" si="0">SUM(B1:B69)</f>
        <v>5033</v>
      </c>
      <c r="C71">
        <f t="shared" si="0"/>
        <v>93239885</v>
      </c>
      <c r="D71">
        <f t="shared" si="0"/>
        <v>388</v>
      </c>
      <c r="E71">
        <f t="shared" si="0"/>
        <v>4993803</v>
      </c>
      <c r="F71">
        <f t="shared" si="0"/>
        <v>559</v>
      </c>
      <c r="G71">
        <f t="shared" si="0"/>
        <v>6219105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6"/>
  <sheetViews>
    <sheetView workbookViewId="0">
      <selection activeCell="E29" sqref="E29"/>
    </sheetView>
  </sheetViews>
  <sheetFormatPr defaultRowHeight="15" x14ac:dyDescent="0.25"/>
  <sheetData>
    <row r="4" spans="4:24" x14ac:dyDescent="0.25">
      <c r="D4" t="s">
        <v>41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4:24" x14ac:dyDescent="0.25">
      <c r="D5" t="s">
        <v>40</v>
      </c>
      <c r="E5">
        <v>143</v>
      </c>
      <c r="F5" s="3">
        <v>5053568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143</v>
      </c>
      <c r="X5" s="3">
        <v>5053568</v>
      </c>
    </row>
    <row r="6" spans="4:24" x14ac:dyDescent="0.25">
      <c r="D6" t="s">
        <v>39</v>
      </c>
      <c r="E6">
        <v>589</v>
      </c>
      <c r="F6" s="3">
        <v>23371767</v>
      </c>
      <c r="G6">
        <v>131</v>
      </c>
      <c r="H6" s="3">
        <v>5838398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720</v>
      </c>
      <c r="X6" s="3">
        <v>29210165</v>
      </c>
    </row>
    <row r="7" spans="4:24" x14ac:dyDescent="0.25">
      <c r="D7" t="s">
        <v>38</v>
      </c>
      <c r="E7">
        <v>475</v>
      </c>
      <c r="F7" s="3">
        <v>19582720</v>
      </c>
      <c r="G7">
        <v>494</v>
      </c>
      <c r="H7" s="3">
        <v>23962388</v>
      </c>
      <c r="I7">
        <v>108</v>
      </c>
      <c r="J7" s="3">
        <v>5873888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3">
        <v>1077</v>
      </c>
      <c r="X7" s="3">
        <v>49418996</v>
      </c>
    </row>
    <row r="8" spans="4:24" x14ac:dyDescent="0.25">
      <c r="D8" t="s">
        <v>37</v>
      </c>
      <c r="E8">
        <v>293</v>
      </c>
      <c r="F8" s="3">
        <v>12793662</v>
      </c>
      <c r="G8">
        <v>439</v>
      </c>
      <c r="H8" s="3">
        <v>22610153</v>
      </c>
      <c r="I8">
        <v>385</v>
      </c>
      <c r="J8" s="3">
        <v>22442243</v>
      </c>
      <c r="K8">
        <v>89</v>
      </c>
      <c r="L8" s="3">
        <v>5388149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3">
        <v>1206</v>
      </c>
      <c r="X8" s="3">
        <v>63234207</v>
      </c>
    </row>
    <row r="9" spans="4:24" x14ac:dyDescent="0.25">
      <c r="D9" t="s">
        <v>36</v>
      </c>
      <c r="E9">
        <v>230</v>
      </c>
      <c r="F9" s="3">
        <v>10286735</v>
      </c>
      <c r="G9">
        <v>317</v>
      </c>
      <c r="H9" s="3">
        <v>16868010</v>
      </c>
      <c r="I9">
        <v>408</v>
      </c>
      <c r="J9" s="3">
        <v>24113102</v>
      </c>
      <c r="K9">
        <v>362</v>
      </c>
      <c r="L9" s="3">
        <v>23434386</v>
      </c>
      <c r="M9">
        <v>55</v>
      </c>
      <c r="N9" s="3">
        <v>3920789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3">
        <v>1372</v>
      </c>
      <c r="X9" s="3">
        <v>78623022</v>
      </c>
    </row>
    <row r="10" spans="4:24" x14ac:dyDescent="0.25">
      <c r="D10" t="s">
        <v>35</v>
      </c>
      <c r="E10">
        <v>179</v>
      </c>
      <c r="F10" s="3">
        <v>7642350</v>
      </c>
      <c r="G10">
        <v>276</v>
      </c>
      <c r="H10" s="3">
        <v>15508280</v>
      </c>
      <c r="I10">
        <v>243</v>
      </c>
      <c r="J10" s="3">
        <v>14584504</v>
      </c>
      <c r="K10">
        <v>283</v>
      </c>
      <c r="L10" s="3">
        <v>18491082</v>
      </c>
      <c r="M10">
        <v>213</v>
      </c>
      <c r="N10" s="3">
        <v>14755650</v>
      </c>
      <c r="O10">
        <v>61</v>
      </c>
      <c r="P10" s="3">
        <v>4323678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3">
        <v>1255</v>
      </c>
      <c r="X10" s="3">
        <v>75305544</v>
      </c>
    </row>
    <row r="11" spans="4:24" x14ac:dyDescent="0.25">
      <c r="D11" t="s">
        <v>34</v>
      </c>
      <c r="E11">
        <v>136</v>
      </c>
      <c r="F11" s="3">
        <v>6159210</v>
      </c>
      <c r="G11">
        <v>223</v>
      </c>
      <c r="H11" s="3">
        <v>12224933</v>
      </c>
      <c r="I11">
        <v>239</v>
      </c>
      <c r="J11" s="3">
        <v>14559950</v>
      </c>
      <c r="K11">
        <v>238</v>
      </c>
      <c r="L11" s="3">
        <v>15555234</v>
      </c>
      <c r="M11">
        <v>204</v>
      </c>
      <c r="N11" s="3">
        <v>14070990</v>
      </c>
      <c r="O11">
        <v>245</v>
      </c>
      <c r="P11" s="3">
        <v>16794126</v>
      </c>
      <c r="Q11">
        <v>51</v>
      </c>
      <c r="R11" s="3">
        <v>3708475</v>
      </c>
      <c r="S11">
        <v>0</v>
      </c>
      <c r="T11">
        <v>0</v>
      </c>
      <c r="U11">
        <v>0</v>
      </c>
      <c r="V11">
        <v>0</v>
      </c>
      <c r="W11" s="3">
        <v>1336</v>
      </c>
      <c r="X11" s="3">
        <v>83072918</v>
      </c>
    </row>
    <row r="12" spans="4:24" x14ac:dyDescent="0.25">
      <c r="D12" t="s">
        <v>33</v>
      </c>
      <c r="E12">
        <v>108</v>
      </c>
      <c r="F12" s="3">
        <v>4860460</v>
      </c>
      <c r="G12">
        <v>162</v>
      </c>
      <c r="H12" s="3">
        <v>8918283</v>
      </c>
      <c r="I12">
        <v>252</v>
      </c>
      <c r="J12" s="3">
        <v>14822820</v>
      </c>
      <c r="K12">
        <v>233</v>
      </c>
      <c r="L12" s="3">
        <v>14533710</v>
      </c>
      <c r="M12">
        <v>190</v>
      </c>
      <c r="N12" s="3">
        <v>12936587</v>
      </c>
      <c r="O12">
        <v>252</v>
      </c>
      <c r="P12" s="3">
        <v>17876557</v>
      </c>
      <c r="Q12">
        <v>195</v>
      </c>
      <c r="R12" s="3">
        <v>14152811</v>
      </c>
      <c r="S12">
        <v>54</v>
      </c>
      <c r="T12" s="3">
        <v>4010804</v>
      </c>
      <c r="U12">
        <v>0</v>
      </c>
      <c r="V12">
        <v>0</v>
      </c>
      <c r="W12" s="3">
        <v>1446</v>
      </c>
      <c r="X12" s="3">
        <v>92112032</v>
      </c>
    </row>
    <row r="13" spans="4:24" x14ac:dyDescent="0.25">
      <c r="D13" t="s">
        <v>32</v>
      </c>
      <c r="E13">
        <v>55</v>
      </c>
      <c r="F13" s="3">
        <v>2931767</v>
      </c>
      <c r="G13">
        <v>107</v>
      </c>
      <c r="H13" s="3">
        <v>5593254</v>
      </c>
      <c r="I13">
        <v>154</v>
      </c>
      <c r="J13" s="3">
        <v>9276932</v>
      </c>
      <c r="K13">
        <v>198</v>
      </c>
      <c r="L13" s="3">
        <v>12391338</v>
      </c>
      <c r="M13">
        <v>177</v>
      </c>
      <c r="N13" s="3">
        <v>11967949</v>
      </c>
      <c r="O13">
        <v>154</v>
      </c>
      <c r="P13" s="3">
        <v>10634939</v>
      </c>
      <c r="Q13">
        <v>143</v>
      </c>
      <c r="R13" s="3">
        <v>10276176</v>
      </c>
      <c r="S13">
        <v>129</v>
      </c>
      <c r="T13" s="3">
        <v>9423952</v>
      </c>
      <c r="U13">
        <v>28</v>
      </c>
      <c r="V13" s="3">
        <v>2063291</v>
      </c>
      <c r="W13" s="3">
        <v>1145</v>
      </c>
      <c r="X13" s="3">
        <v>74559598</v>
      </c>
    </row>
    <row r="14" spans="4:24" x14ac:dyDescent="0.25">
      <c r="D14" t="s">
        <v>31</v>
      </c>
      <c r="E14">
        <v>18</v>
      </c>
      <c r="F14" s="3">
        <v>677279</v>
      </c>
      <c r="G14">
        <v>25</v>
      </c>
      <c r="H14" s="3">
        <v>1469339</v>
      </c>
      <c r="I14">
        <v>30</v>
      </c>
      <c r="J14" s="3">
        <v>1696903</v>
      </c>
      <c r="K14">
        <v>27</v>
      </c>
      <c r="L14" s="3">
        <v>1933539</v>
      </c>
      <c r="M14">
        <v>25</v>
      </c>
      <c r="N14" s="3">
        <v>1555040</v>
      </c>
      <c r="O14">
        <v>28</v>
      </c>
      <c r="P14" s="3">
        <v>2034486</v>
      </c>
      <c r="Q14">
        <v>22</v>
      </c>
      <c r="R14" s="3">
        <v>1742832</v>
      </c>
      <c r="S14">
        <v>21</v>
      </c>
      <c r="T14" s="3">
        <v>1572047</v>
      </c>
      <c r="U14">
        <v>26</v>
      </c>
      <c r="V14" s="3">
        <v>2015443</v>
      </c>
      <c r="W14">
        <v>222</v>
      </c>
      <c r="X14" s="3">
        <v>14696908</v>
      </c>
    </row>
    <row r="15" spans="4:24" x14ac:dyDescent="0.25">
      <c r="D15" t="s">
        <v>30</v>
      </c>
      <c r="E15">
        <v>6</v>
      </c>
      <c r="F15" s="3">
        <v>234599</v>
      </c>
      <c r="G15">
        <v>1</v>
      </c>
      <c r="H15" s="3">
        <v>25944</v>
      </c>
      <c r="I15">
        <v>7</v>
      </c>
      <c r="J15" s="3">
        <v>355631</v>
      </c>
      <c r="K15">
        <v>1</v>
      </c>
      <c r="L15" s="3">
        <v>68306</v>
      </c>
      <c r="M15">
        <v>3</v>
      </c>
      <c r="N15" s="3">
        <v>202444</v>
      </c>
      <c r="O15">
        <v>1</v>
      </c>
      <c r="P15" s="3">
        <v>63246</v>
      </c>
      <c r="Q15">
        <v>1</v>
      </c>
      <c r="R15" s="3">
        <v>77821</v>
      </c>
      <c r="S15">
        <v>2</v>
      </c>
      <c r="T15" s="3">
        <v>171117</v>
      </c>
      <c r="U15">
        <v>8</v>
      </c>
      <c r="V15" s="3">
        <v>587536</v>
      </c>
      <c r="W15">
        <v>30</v>
      </c>
      <c r="X15" s="3">
        <v>1786644</v>
      </c>
    </row>
    <row r="16" spans="4:24" x14ac:dyDescent="0.25">
      <c r="D16" t="s">
        <v>29</v>
      </c>
      <c r="E16" s="3">
        <v>2232</v>
      </c>
      <c r="F16" s="3">
        <v>93594116</v>
      </c>
      <c r="G16" s="3">
        <v>2175</v>
      </c>
      <c r="H16" s="3">
        <v>113018982</v>
      </c>
      <c r="I16" s="3">
        <v>1826</v>
      </c>
      <c r="J16" s="3">
        <v>107725973</v>
      </c>
      <c r="K16" s="3">
        <v>1431</v>
      </c>
      <c r="L16" s="3">
        <v>91795744</v>
      </c>
      <c r="M16">
        <v>867</v>
      </c>
      <c r="N16" s="3">
        <v>59409449</v>
      </c>
      <c r="O16">
        <v>741</v>
      </c>
      <c r="P16" s="3">
        <v>51727032</v>
      </c>
      <c r="Q16">
        <v>412</v>
      </c>
      <c r="R16" s="3">
        <v>29958115</v>
      </c>
      <c r="S16">
        <v>206</v>
      </c>
      <c r="T16" s="3">
        <v>15177920</v>
      </c>
      <c r="U16">
        <v>62</v>
      </c>
      <c r="V16" s="3">
        <v>4666270</v>
      </c>
      <c r="W16" s="3">
        <v>9952</v>
      </c>
      <c r="X16" s="3">
        <v>567073601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>
        <v>25</v>
      </c>
      <c r="B1" s="8">
        <v>8.4000000000000005E-2</v>
      </c>
    </row>
    <row r="2" spans="1:2" x14ac:dyDescent="0.25">
      <c r="A2">
        <v>30</v>
      </c>
      <c r="B2">
        <v>7.05</v>
      </c>
    </row>
    <row r="3" spans="1:2" x14ac:dyDescent="0.25">
      <c r="A3">
        <v>35</v>
      </c>
      <c r="B3">
        <v>6.15</v>
      </c>
    </row>
    <row r="4" spans="1:2" x14ac:dyDescent="0.25">
      <c r="A4">
        <v>40</v>
      </c>
      <c r="B4">
        <v>5.45</v>
      </c>
    </row>
    <row r="5" spans="1:2" x14ac:dyDescent="0.25">
      <c r="A5">
        <v>45</v>
      </c>
      <c r="B5">
        <v>4.95</v>
      </c>
    </row>
    <row r="6" spans="1:2" x14ac:dyDescent="0.25">
      <c r="A6">
        <v>50</v>
      </c>
      <c r="B6">
        <v>4.5999999999999996</v>
      </c>
    </row>
    <row r="7" spans="1:2" x14ac:dyDescent="0.25">
      <c r="A7">
        <v>55</v>
      </c>
      <c r="B7">
        <v>4.3499999999999996</v>
      </c>
    </row>
    <row r="8" spans="1:2" x14ac:dyDescent="0.25">
      <c r="A8">
        <v>60</v>
      </c>
      <c r="B8">
        <v>4.25</v>
      </c>
    </row>
    <row r="9" spans="1:2" x14ac:dyDescent="0.25">
      <c r="A9">
        <v>64</v>
      </c>
      <c r="B9">
        <v>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G32" sqref="G32"/>
    </sheetView>
  </sheetViews>
  <sheetFormatPr defaultRowHeight="15" x14ac:dyDescent="0.25"/>
  <sheetData>
    <row r="1" spans="1:12" x14ac:dyDescent="0.25">
      <c r="B1" t="s">
        <v>64</v>
      </c>
      <c r="C1" s="2">
        <v>42133</v>
      </c>
      <c r="D1" s="2">
        <v>42291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</row>
    <row r="2" spans="1:12" x14ac:dyDescent="0.25">
      <c r="A2" t="s">
        <v>55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 t="s">
        <v>53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19</v>
      </c>
      <c r="I6">
        <v>0</v>
      </c>
      <c r="J6">
        <v>0</v>
      </c>
      <c r="K6">
        <v>0</v>
      </c>
      <c r="L6">
        <v>24</v>
      </c>
    </row>
    <row r="7" spans="1:12" x14ac:dyDescent="0.25">
      <c r="B7" s="3">
        <v>35665</v>
      </c>
      <c r="C7">
        <v>0</v>
      </c>
      <c r="D7">
        <v>0</v>
      </c>
      <c r="E7">
        <v>0</v>
      </c>
      <c r="F7">
        <v>0</v>
      </c>
      <c r="G7">
        <v>0</v>
      </c>
      <c r="H7" s="3">
        <v>30442</v>
      </c>
      <c r="I7">
        <v>0</v>
      </c>
      <c r="J7">
        <v>0</v>
      </c>
      <c r="K7">
        <v>0</v>
      </c>
      <c r="L7" s="3">
        <v>31530</v>
      </c>
    </row>
    <row r="8" spans="1:12" x14ac:dyDescent="0.25">
      <c r="A8" t="s">
        <v>52</v>
      </c>
      <c r="B8">
        <v>51</v>
      </c>
      <c r="C8">
        <v>8</v>
      </c>
      <c r="D8">
        <v>24</v>
      </c>
      <c r="E8">
        <v>21</v>
      </c>
      <c r="F8">
        <v>19</v>
      </c>
      <c r="G8">
        <v>1</v>
      </c>
      <c r="H8">
        <v>169</v>
      </c>
      <c r="I8">
        <v>4</v>
      </c>
      <c r="J8">
        <v>0</v>
      </c>
      <c r="K8">
        <v>0</v>
      </c>
      <c r="L8">
        <v>297</v>
      </c>
    </row>
    <row r="9" spans="1:12" x14ac:dyDescent="0.25">
      <c r="B9" s="3">
        <v>21284</v>
      </c>
      <c r="C9" s="3">
        <v>3047</v>
      </c>
      <c r="D9" s="3">
        <v>5032</v>
      </c>
      <c r="E9" s="3">
        <v>7871</v>
      </c>
      <c r="F9" s="3">
        <v>10654</v>
      </c>
      <c r="G9" s="3">
        <v>12685</v>
      </c>
      <c r="H9" s="3">
        <v>30673</v>
      </c>
      <c r="I9" s="3">
        <v>52396</v>
      </c>
      <c r="J9">
        <v>0</v>
      </c>
      <c r="K9">
        <v>0</v>
      </c>
      <c r="L9" s="3">
        <v>23584</v>
      </c>
    </row>
    <row r="10" spans="1:12" x14ac:dyDescent="0.25">
      <c r="A10" t="s">
        <v>51</v>
      </c>
      <c r="B10">
        <v>229</v>
      </c>
      <c r="C10">
        <v>98</v>
      </c>
      <c r="D10">
        <v>234</v>
      </c>
      <c r="E10">
        <v>184</v>
      </c>
      <c r="F10">
        <v>167</v>
      </c>
      <c r="G10">
        <v>65</v>
      </c>
      <c r="H10">
        <v>601</v>
      </c>
      <c r="I10">
        <v>115</v>
      </c>
      <c r="J10">
        <v>6</v>
      </c>
      <c r="K10">
        <v>0</v>
      </c>
      <c r="L10" s="3">
        <v>1699</v>
      </c>
    </row>
    <row r="11" spans="1:12" x14ac:dyDescent="0.25">
      <c r="B11" s="3">
        <v>23753</v>
      </c>
      <c r="C11" s="3">
        <v>5010</v>
      </c>
      <c r="D11" s="3">
        <v>6865</v>
      </c>
      <c r="E11" s="3">
        <v>12173</v>
      </c>
      <c r="F11" s="3">
        <v>17137</v>
      </c>
      <c r="G11" s="3">
        <v>25738</v>
      </c>
      <c r="H11" s="3">
        <v>29121</v>
      </c>
      <c r="I11" s="3">
        <v>34183</v>
      </c>
      <c r="J11" s="3">
        <v>38009</v>
      </c>
      <c r="K11">
        <v>0</v>
      </c>
      <c r="L11" s="3">
        <v>21173</v>
      </c>
    </row>
    <row r="12" spans="1:12" x14ac:dyDescent="0.25">
      <c r="A12" t="s">
        <v>50</v>
      </c>
      <c r="B12">
        <v>108</v>
      </c>
      <c r="C12">
        <v>139</v>
      </c>
      <c r="D12">
        <v>369</v>
      </c>
      <c r="E12">
        <v>287</v>
      </c>
      <c r="F12">
        <v>344</v>
      </c>
      <c r="G12">
        <v>202</v>
      </c>
      <c r="H12">
        <v>729</v>
      </c>
      <c r="I12">
        <v>189</v>
      </c>
      <c r="J12">
        <v>27</v>
      </c>
      <c r="K12">
        <v>0</v>
      </c>
      <c r="L12" s="3">
        <v>2394</v>
      </c>
    </row>
    <row r="13" spans="1:12" x14ac:dyDescent="0.25">
      <c r="B13" s="3">
        <v>18933</v>
      </c>
      <c r="C13" s="3">
        <v>5360</v>
      </c>
      <c r="D13" s="3">
        <v>7248</v>
      </c>
      <c r="E13" s="3">
        <v>12288</v>
      </c>
      <c r="F13" s="3">
        <v>18566</v>
      </c>
      <c r="G13" s="3">
        <v>24464</v>
      </c>
      <c r="H13" s="3">
        <v>27245</v>
      </c>
      <c r="I13" s="3">
        <v>32483</v>
      </c>
      <c r="J13" s="3">
        <v>35684</v>
      </c>
      <c r="K13">
        <v>0</v>
      </c>
      <c r="L13" s="3">
        <v>19751</v>
      </c>
    </row>
    <row r="14" spans="1:12" x14ac:dyDescent="0.25">
      <c r="A14" t="s">
        <v>49</v>
      </c>
      <c r="B14">
        <v>33</v>
      </c>
      <c r="C14">
        <v>62</v>
      </c>
      <c r="D14">
        <v>229</v>
      </c>
      <c r="E14">
        <v>199</v>
      </c>
      <c r="F14">
        <v>209</v>
      </c>
      <c r="G14">
        <v>132</v>
      </c>
      <c r="H14">
        <v>412</v>
      </c>
      <c r="I14">
        <v>124</v>
      </c>
      <c r="J14">
        <v>21</v>
      </c>
      <c r="K14">
        <v>4</v>
      </c>
      <c r="L14" s="3">
        <v>1425</v>
      </c>
    </row>
    <row r="15" spans="1:12" x14ac:dyDescent="0.25">
      <c r="B15" s="3">
        <v>5404</v>
      </c>
      <c r="C15" s="3">
        <v>5981</v>
      </c>
      <c r="D15" s="3">
        <v>7184</v>
      </c>
      <c r="E15" s="3">
        <v>10932</v>
      </c>
      <c r="F15" s="3">
        <v>15525</v>
      </c>
      <c r="G15" s="3">
        <v>20078</v>
      </c>
      <c r="H15" s="3">
        <v>24493</v>
      </c>
      <c r="I15" s="3">
        <v>30920</v>
      </c>
      <c r="J15" s="3">
        <v>30942</v>
      </c>
      <c r="K15" s="3">
        <v>33551</v>
      </c>
      <c r="L15" s="3">
        <v>17526</v>
      </c>
    </row>
    <row r="16" spans="1:12" x14ac:dyDescent="0.25">
      <c r="A16" t="s">
        <v>48</v>
      </c>
      <c r="B16">
        <v>20</v>
      </c>
      <c r="C16">
        <v>30</v>
      </c>
      <c r="D16">
        <v>110</v>
      </c>
      <c r="E16">
        <v>110</v>
      </c>
      <c r="F16">
        <v>127</v>
      </c>
      <c r="G16">
        <v>85</v>
      </c>
      <c r="H16">
        <v>153</v>
      </c>
      <c r="I16">
        <v>71</v>
      </c>
      <c r="J16">
        <v>10</v>
      </c>
      <c r="K16">
        <v>2</v>
      </c>
      <c r="L16">
        <v>718</v>
      </c>
    </row>
    <row r="17" spans="1:12" x14ac:dyDescent="0.25">
      <c r="B17" s="3">
        <v>2826</v>
      </c>
      <c r="C17" s="3">
        <v>5687</v>
      </c>
      <c r="D17" s="3">
        <v>6892</v>
      </c>
      <c r="E17" s="3">
        <v>10872</v>
      </c>
      <c r="F17" s="3">
        <v>14062</v>
      </c>
      <c r="G17" s="3">
        <v>18996</v>
      </c>
      <c r="H17" s="3">
        <v>23660</v>
      </c>
      <c r="I17" s="3">
        <v>28706</v>
      </c>
      <c r="J17" s="3">
        <v>32630</v>
      </c>
      <c r="K17" s="3">
        <v>39237</v>
      </c>
      <c r="L17" s="3">
        <v>16218</v>
      </c>
    </row>
    <row r="18" spans="1:12" x14ac:dyDescent="0.25">
      <c r="A18" t="s">
        <v>47</v>
      </c>
      <c r="B18">
        <v>14</v>
      </c>
      <c r="C18">
        <v>24</v>
      </c>
      <c r="D18">
        <v>72</v>
      </c>
      <c r="E18">
        <v>63</v>
      </c>
      <c r="F18">
        <v>70</v>
      </c>
      <c r="G18">
        <v>67</v>
      </c>
      <c r="H18">
        <v>98</v>
      </c>
      <c r="I18">
        <v>65</v>
      </c>
      <c r="J18">
        <v>11</v>
      </c>
      <c r="K18">
        <v>1</v>
      </c>
      <c r="L18">
        <v>485</v>
      </c>
    </row>
    <row r="19" spans="1:12" x14ac:dyDescent="0.25">
      <c r="B19" s="3">
        <v>2251</v>
      </c>
      <c r="C19" s="3">
        <v>4986</v>
      </c>
      <c r="D19" s="3">
        <v>6061</v>
      </c>
      <c r="E19" s="3">
        <v>9604</v>
      </c>
      <c r="F19" s="3">
        <v>13014</v>
      </c>
      <c r="G19" s="3">
        <v>14825</v>
      </c>
      <c r="H19" s="3">
        <v>20508</v>
      </c>
      <c r="I19" s="3">
        <v>23730</v>
      </c>
      <c r="J19" s="3">
        <v>25150</v>
      </c>
      <c r="K19" s="3">
        <v>68464</v>
      </c>
      <c r="L19" s="3">
        <v>14421</v>
      </c>
    </row>
    <row r="20" spans="1:12" x14ac:dyDescent="0.25">
      <c r="A20" t="s">
        <v>46</v>
      </c>
      <c r="B20">
        <v>7</v>
      </c>
      <c r="C20">
        <v>13</v>
      </c>
      <c r="D20">
        <v>49</v>
      </c>
      <c r="E20">
        <v>55</v>
      </c>
      <c r="F20">
        <v>43</v>
      </c>
      <c r="G20">
        <v>23</v>
      </c>
      <c r="H20">
        <v>65</v>
      </c>
      <c r="I20">
        <v>28</v>
      </c>
      <c r="J20">
        <v>11</v>
      </c>
      <c r="K20">
        <v>0</v>
      </c>
      <c r="L20">
        <v>294</v>
      </c>
    </row>
    <row r="21" spans="1:12" x14ac:dyDescent="0.25">
      <c r="B21" s="3">
        <v>3230</v>
      </c>
      <c r="C21" s="3">
        <v>4081</v>
      </c>
      <c r="D21" s="3">
        <v>5159</v>
      </c>
      <c r="E21" s="3">
        <v>7686</v>
      </c>
      <c r="F21" s="3">
        <v>11267</v>
      </c>
      <c r="G21" s="3">
        <v>14359</v>
      </c>
      <c r="H21" s="3">
        <v>19754</v>
      </c>
      <c r="I21" s="3">
        <v>19630</v>
      </c>
      <c r="J21" s="3">
        <v>23543</v>
      </c>
      <c r="K21">
        <v>0</v>
      </c>
      <c r="L21" s="3">
        <v>12444</v>
      </c>
    </row>
    <row r="22" spans="1:12" x14ac:dyDescent="0.25">
      <c r="A22" t="s">
        <v>45</v>
      </c>
      <c r="B22">
        <v>11</v>
      </c>
      <c r="C22">
        <v>13</v>
      </c>
      <c r="D22">
        <v>18</v>
      </c>
      <c r="E22">
        <v>23</v>
      </c>
      <c r="F22">
        <v>22</v>
      </c>
      <c r="G22">
        <v>24</v>
      </c>
      <c r="H22">
        <v>24</v>
      </c>
      <c r="I22">
        <v>3</v>
      </c>
      <c r="J22">
        <v>3</v>
      </c>
      <c r="K22">
        <v>1</v>
      </c>
      <c r="L22">
        <v>142</v>
      </c>
    </row>
    <row r="23" spans="1:12" x14ac:dyDescent="0.25">
      <c r="B23" s="3">
        <v>3199</v>
      </c>
      <c r="C23" s="3">
        <v>3847</v>
      </c>
      <c r="D23" s="3">
        <v>5308</v>
      </c>
      <c r="E23" s="3">
        <v>7568</v>
      </c>
      <c r="F23" s="3">
        <v>10140</v>
      </c>
      <c r="G23" s="3">
        <v>11386</v>
      </c>
      <c r="H23" s="3">
        <v>16299</v>
      </c>
      <c r="I23" s="3">
        <v>16487</v>
      </c>
      <c r="J23" s="3">
        <v>22751</v>
      </c>
      <c r="K23" s="3">
        <v>16223</v>
      </c>
      <c r="L23" s="3">
        <v>9692</v>
      </c>
    </row>
    <row r="24" spans="1:12" x14ac:dyDescent="0.25">
      <c r="A24" t="s">
        <v>44</v>
      </c>
      <c r="B24">
        <v>0</v>
      </c>
      <c r="C24">
        <v>4</v>
      </c>
      <c r="D24">
        <v>8</v>
      </c>
      <c r="E24">
        <v>6</v>
      </c>
      <c r="F24">
        <v>5</v>
      </c>
      <c r="G24">
        <v>6</v>
      </c>
      <c r="H24">
        <v>4</v>
      </c>
      <c r="I24">
        <v>3</v>
      </c>
      <c r="J24">
        <v>1</v>
      </c>
      <c r="K24">
        <v>0</v>
      </c>
      <c r="L24">
        <v>37</v>
      </c>
    </row>
    <row r="25" spans="1:12" x14ac:dyDescent="0.25">
      <c r="B25">
        <v>0</v>
      </c>
      <c r="C25" s="3">
        <v>5707</v>
      </c>
      <c r="D25" s="3">
        <v>7040</v>
      </c>
      <c r="E25" s="3">
        <v>10325</v>
      </c>
      <c r="F25" s="3">
        <v>10508</v>
      </c>
      <c r="G25" s="3">
        <v>14827</v>
      </c>
      <c r="H25" s="3">
        <v>18802</v>
      </c>
      <c r="I25" s="3">
        <v>23537</v>
      </c>
      <c r="J25" s="3">
        <v>25546</v>
      </c>
      <c r="K25">
        <v>0</v>
      </c>
      <c r="L25" s="3">
        <v>12269</v>
      </c>
    </row>
    <row r="26" spans="1:12" x14ac:dyDescent="0.25">
      <c r="A26" t="s">
        <v>43</v>
      </c>
      <c r="B26">
        <v>478</v>
      </c>
      <c r="C26">
        <v>391</v>
      </c>
      <c r="D26" s="3">
        <v>1113</v>
      </c>
      <c r="E26">
        <v>948</v>
      </c>
      <c r="F26" s="3">
        <v>1006</v>
      </c>
      <c r="G26">
        <v>605</v>
      </c>
      <c r="H26" s="3">
        <v>2274</v>
      </c>
      <c r="I26">
        <v>602</v>
      </c>
      <c r="J26">
        <v>90</v>
      </c>
      <c r="K26">
        <v>8</v>
      </c>
      <c r="L26" s="3">
        <v>7515</v>
      </c>
    </row>
    <row r="27" spans="1:12" x14ac:dyDescent="0.25">
      <c r="A27" t="s">
        <v>42</v>
      </c>
      <c r="B27" s="3">
        <v>18979</v>
      </c>
      <c r="C27" s="3">
        <v>5236</v>
      </c>
      <c r="D27" s="3">
        <v>6870</v>
      </c>
      <c r="E27" s="3">
        <v>11147</v>
      </c>
      <c r="F27" s="3">
        <v>16056</v>
      </c>
      <c r="G27" s="3">
        <v>20790</v>
      </c>
      <c r="H27" s="3">
        <v>26647</v>
      </c>
      <c r="I27" s="3">
        <v>30505</v>
      </c>
      <c r="J27" s="3">
        <v>31078</v>
      </c>
      <c r="K27" s="3">
        <v>37170</v>
      </c>
      <c r="L27" s="3">
        <v>18645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E6" sqref="E6"/>
    </sheetView>
  </sheetViews>
  <sheetFormatPr defaultRowHeight="15" x14ac:dyDescent="0.25"/>
  <sheetData>
    <row r="1" spans="1:12" x14ac:dyDescent="0.25">
      <c r="B1" t="s">
        <v>64</v>
      </c>
      <c r="C1" s="2">
        <v>42133</v>
      </c>
      <c r="D1" s="2">
        <v>42291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</row>
    <row r="2" spans="1:12" x14ac:dyDescent="0.25">
      <c r="A2" t="s">
        <v>55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</row>
    <row r="3" spans="1:12" x14ac:dyDescent="0.25">
      <c r="B3">
        <v>0</v>
      </c>
      <c r="C3" s="3">
        <v>10846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3">
        <v>10846</v>
      </c>
    </row>
    <row r="4" spans="1:12" x14ac:dyDescent="0.25">
      <c r="A4" t="s">
        <v>54</v>
      </c>
      <c r="B4">
        <v>0</v>
      </c>
      <c r="C4">
        <v>1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</row>
    <row r="5" spans="1:12" x14ac:dyDescent="0.25">
      <c r="B5">
        <v>0</v>
      </c>
      <c r="C5" s="3">
        <v>11622</v>
      </c>
      <c r="D5">
        <v>0</v>
      </c>
      <c r="E5">
        <v>0</v>
      </c>
      <c r="F5" s="3">
        <v>12952</v>
      </c>
      <c r="G5">
        <v>0</v>
      </c>
      <c r="H5">
        <v>0</v>
      </c>
      <c r="I5">
        <v>0</v>
      </c>
      <c r="J5">
        <v>0</v>
      </c>
      <c r="K5">
        <v>0</v>
      </c>
      <c r="L5" s="3">
        <v>12509</v>
      </c>
    </row>
    <row r="6" spans="1:12" x14ac:dyDescent="0.25">
      <c r="A6" t="s">
        <v>53</v>
      </c>
      <c r="B6">
        <v>2</v>
      </c>
      <c r="C6">
        <v>1</v>
      </c>
      <c r="D6">
        <v>2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</row>
    <row r="7" spans="1:12" x14ac:dyDescent="0.25">
      <c r="B7" s="3">
        <v>27221</v>
      </c>
      <c r="C7" s="3">
        <v>9383</v>
      </c>
      <c r="D7" s="3">
        <v>11850</v>
      </c>
      <c r="E7" s="3">
        <v>17056</v>
      </c>
      <c r="F7" s="3">
        <v>15814</v>
      </c>
      <c r="G7">
        <v>0</v>
      </c>
      <c r="H7">
        <v>0</v>
      </c>
      <c r="I7">
        <v>0</v>
      </c>
      <c r="J7">
        <v>0</v>
      </c>
      <c r="K7">
        <v>0</v>
      </c>
      <c r="L7" s="3">
        <v>17181</v>
      </c>
    </row>
    <row r="8" spans="1:12" x14ac:dyDescent="0.25">
      <c r="A8" t="s">
        <v>52</v>
      </c>
      <c r="B8">
        <v>0</v>
      </c>
      <c r="C8">
        <v>1</v>
      </c>
      <c r="D8">
        <v>7</v>
      </c>
      <c r="E8">
        <v>4</v>
      </c>
      <c r="F8">
        <v>6</v>
      </c>
      <c r="G8">
        <v>2</v>
      </c>
      <c r="H8">
        <v>0</v>
      </c>
      <c r="I8">
        <v>0</v>
      </c>
      <c r="J8">
        <v>0</v>
      </c>
      <c r="K8">
        <v>0</v>
      </c>
      <c r="L8">
        <v>20</v>
      </c>
    </row>
    <row r="9" spans="1:12" x14ac:dyDescent="0.25">
      <c r="B9">
        <v>0</v>
      </c>
      <c r="C9" s="3">
        <v>11217</v>
      </c>
      <c r="D9" s="3">
        <v>12860</v>
      </c>
      <c r="E9" s="3">
        <v>10536</v>
      </c>
      <c r="F9" s="3">
        <v>22205</v>
      </c>
      <c r="G9" s="3">
        <v>21782</v>
      </c>
      <c r="H9">
        <v>0</v>
      </c>
      <c r="I9">
        <v>0</v>
      </c>
      <c r="J9">
        <v>0</v>
      </c>
      <c r="K9">
        <v>0</v>
      </c>
      <c r="L9" s="3">
        <v>16009</v>
      </c>
    </row>
    <row r="10" spans="1:12" x14ac:dyDescent="0.25">
      <c r="A10" t="s">
        <v>51</v>
      </c>
      <c r="B10">
        <v>0</v>
      </c>
      <c r="C10">
        <v>7</v>
      </c>
      <c r="D10">
        <v>13</v>
      </c>
      <c r="E10">
        <v>9</v>
      </c>
      <c r="F10">
        <v>6</v>
      </c>
      <c r="G10">
        <v>2</v>
      </c>
      <c r="H10">
        <v>0</v>
      </c>
      <c r="I10">
        <v>0</v>
      </c>
      <c r="J10">
        <v>0</v>
      </c>
      <c r="K10">
        <v>0</v>
      </c>
      <c r="L10">
        <v>37</v>
      </c>
    </row>
    <row r="11" spans="1:12" x14ac:dyDescent="0.25">
      <c r="B11">
        <v>0</v>
      </c>
      <c r="C11" s="3">
        <v>11189</v>
      </c>
      <c r="D11" s="3">
        <v>11733</v>
      </c>
      <c r="E11" s="3">
        <v>14030</v>
      </c>
      <c r="F11" s="3">
        <v>20162</v>
      </c>
      <c r="G11" s="3">
        <v>20003</v>
      </c>
      <c r="H11">
        <v>0</v>
      </c>
      <c r="I11">
        <v>0</v>
      </c>
      <c r="J11">
        <v>0</v>
      </c>
      <c r="K11">
        <v>0</v>
      </c>
      <c r="L11" s="3">
        <v>14003</v>
      </c>
    </row>
    <row r="12" spans="1:12" x14ac:dyDescent="0.25">
      <c r="A12" t="s">
        <v>50</v>
      </c>
      <c r="B12">
        <v>0</v>
      </c>
      <c r="C12">
        <v>5</v>
      </c>
      <c r="D12">
        <v>6</v>
      </c>
      <c r="E12">
        <v>6</v>
      </c>
      <c r="F12">
        <v>11</v>
      </c>
      <c r="G12">
        <v>7</v>
      </c>
      <c r="H12">
        <v>1</v>
      </c>
      <c r="I12">
        <v>0</v>
      </c>
      <c r="J12">
        <v>0</v>
      </c>
      <c r="K12">
        <v>0</v>
      </c>
      <c r="L12">
        <v>36</v>
      </c>
    </row>
    <row r="13" spans="1:12" x14ac:dyDescent="0.25">
      <c r="B13">
        <v>0</v>
      </c>
      <c r="C13" s="3">
        <v>15842</v>
      </c>
      <c r="D13" s="3">
        <v>10043</v>
      </c>
      <c r="E13" s="3">
        <v>16354</v>
      </c>
      <c r="F13" s="3">
        <v>16283</v>
      </c>
      <c r="G13" s="3">
        <v>21678</v>
      </c>
      <c r="H13" s="3">
        <v>30074</v>
      </c>
      <c r="I13">
        <v>0</v>
      </c>
      <c r="J13">
        <v>0</v>
      </c>
      <c r="K13">
        <v>0</v>
      </c>
      <c r="L13" s="3">
        <v>16626</v>
      </c>
    </row>
    <row r="14" spans="1:12" x14ac:dyDescent="0.25">
      <c r="A14" t="s">
        <v>49</v>
      </c>
      <c r="B14">
        <v>0</v>
      </c>
      <c r="C14">
        <v>1</v>
      </c>
      <c r="D14">
        <v>9</v>
      </c>
      <c r="E14">
        <v>6</v>
      </c>
      <c r="F14">
        <v>6</v>
      </c>
      <c r="G14">
        <v>5</v>
      </c>
      <c r="H14">
        <v>0</v>
      </c>
      <c r="I14">
        <v>0</v>
      </c>
      <c r="J14">
        <v>0</v>
      </c>
      <c r="K14">
        <v>0</v>
      </c>
      <c r="L14">
        <v>27</v>
      </c>
    </row>
    <row r="15" spans="1:12" x14ac:dyDescent="0.25">
      <c r="B15">
        <v>0</v>
      </c>
      <c r="C15" s="3">
        <v>18655</v>
      </c>
      <c r="D15" s="3">
        <v>12385</v>
      </c>
      <c r="E15" s="3">
        <v>11887</v>
      </c>
      <c r="F15" s="3">
        <v>14894</v>
      </c>
      <c r="G15" s="3">
        <v>20660</v>
      </c>
      <c r="H15">
        <v>0</v>
      </c>
      <c r="I15">
        <v>0</v>
      </c>
      <c r="J15">
        <v>0</v>
      </c>
      <c r="K15">
        <v>0</v>
      </c>
      <c r="L15" s="3">
        <v>14596</v>
      </c>
    </row>
    <row r="16" spans="1:12" x14ac:dyDescent="0.25">
      <c r="A16" t="s">
        <v>48</v>
      </c>
      <c r="B16">
        <v>0</v>
      </c>
      <c r="C16">
        <v>0</v>
      </c>
      <c r="D16">
        <v>1</v>
      </c>
      <c r="E16">
        <v>3</v>
      </c>
      <c r="F16">
        <v>3</v>
      </c>
      <c r="G16">
        <v>3</v>
      </c>
      <c r="H16">
        <v>1</v>
      </c>
      <c r="I16">
        <v>0</v>
      </c>
      <c r="J16">
        <v>0</v>
      </c>
      <c r="K16">
        <v>0</v>
      </c>
      <c r="L16">
        <v>11</v>
      </c>
    </row>
    <row r="17" spans="1:12" x14ac:dyDescent="0.25">
      <c r="B17">
        <v>0</v>
      </c>
      <c r="C17">
        <v>0</v>
      </c>
      <c r="D17" s="3">
        <v>10733</v>
      </c>
      <c r="E17" s="3">
        <v>10724</v>
      </c>
      <c r="F17" s="3">
        <v>10520</v>
      </c>
      <c r="G17" s="3">
        <v>18661</v>
      </c>
      <c r="H17" s="3">
        <v>16180</v>
      </c>
      <c r="I17">
        <v>0</v>
      </c>
      <c r="J17">
        <v>0</v>
      </c>
      <c r="K17">
        <v>0</v>
      </c>
      <c r="L17" s="3">
        <v>13330</v>
      </c>
    </row>
    <row r="18" spans="1:12" x14ac:dyDescent="0.25">
      <c r="A18" t="s">
        <v>47</v>
      </c>
      <c r="B18">
        <v>1</v>
      </c>
      <c r="C18">
        <v>0</v>
      </c>
      <c r="D18">
        <v>0</v>
      </c>
      <c r="E18">
        <v>3</v>
      </c>
      <c r="F18">
        <v>2</v>
      </c>
      <c r="G18">
        <v>2</v>
      </c>
      <c r="H18">
        <v>0</v>
      </c>
      <c r="I18">
        <v>0</v>
      </c>
      <c r="J18">
        <v>0</v>
      </c>
      <c r="K18">
        <v>0</v>
      </c>
      <c r="L18">
        <v>8</v>
      </c>
    </row>
    <row r="19" spans="1:12" x14ac:dyDescent="0.25">
      <c r="B19" s="3">
        <v>11205</v>
      </c>
      <c r="C19">
        <v>0</v>
      </c>
      <c r="D19">
        <v>0</v>
      </c>
      <c r="E19" s="3">
        <v>14337</v>
      </c>
      <c r="F19" s="3">
        <v>8078</v>
      </c>
      <c r="G19" s="3">
        <v>15240</v>
      </c>
      <c r="H19">
        <v>0</v>
      </c>
      <c r="I19">
        <v>0</v>
      </c>
      <c r="J19">
        <v>0</v>
      </c>
      <c r="K19">
        <v>0</v>
      </c>
      <c r="L19" s="3">
        <v>12606</v>
      </c>
    </row>
    <row r="20" spans="1:12" x14ac:dyDescent="0.25">
      <c r="A20" t="s">
        <v>46</v>
      </c>
      <c r="B20">
        <v>0</v>
      </c>
      <c r="C20">
        <v>0</v>
      </c>
      <c r="D20">
        <v>1</v>
      </c>
      <c r="E20">
        <v>1</v>
      </c>
      <c r="F20">
        <v>0</v>
      </c>
      <c r="G20">
        <v>2</v>
      </c>
      <c r="H20">
        <v>2</v>
      </c>
      <c r="I20">
        <v>0</v>
      </c>
      <c r="J20">
        <v>0</v>
      </c>
      <c r="K20">
        <v>0</v>
      </c>
      <c r="L20">
        <v>6</v>
      </c>
    </row>
    <row r="21" spans="1:12" x14ac:dyDescent="0.25">
      <c r="B21">
        <v>0</v>
      </c>
      <c r="C21">
        <v>0</v>
      </c>
      <c r="D21" s="3">
        <v>7591</v>
      </c>
      <c r="E21" s="3">
        <v>13281</v>
      </c>
      <c r="F21">
        <v>0</v>
      </c>
      <c r="G21" s="3">
        <v>16997</v>
      </c>
      <c r="H21" s="3">
        <v>12334</v>
      </c>
      <c r="I21">
        <v>0</v>
      </c>
      <c r="J21">
        <v>0</v>
      </c>
      <c r="K21">
        <v>0</v>
      </c>
      <c r="L21" s="3">
        <v>13256</v>
      </c>
    </row>
    <row r="22" spans="1:12" x14ac:dyDescent="0.25">
      <c r="A22" t="s">
        <v>45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</v>
      </c>
    </row>
    <row r="23" spans="1:12" x14ac:dyDescent="0.25">
      <c r="B23">
        <v>0</v>
      </c>
      <c r="C23">
        <v>0</v>
      </c>
      <c r="D23" s="3">
        <v>9363</v>
      </c>
      <c r="E23" s="3">
        <v>7812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">
        <v>8588</v>
      </c>
    </row>
    <row r="24" spans="1:12" x14ac:dyDescent="0.25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5">
      <c r="A26" t="s">
        <v>43</v>
      </c>
      <c r="B26">
        <v>3</v>
      </c>
      <c r="C26">
        <v>17</v>
      </c>
      <c r="D26">
        <v>40</v>
      </c>
      <c r="E26">
        <v>35</v>
      </c>
      <c r="F26">
        <v>37</v>
      </c>
      <c r="G26">
        <v>23</v>
      </c>
      <c r="H26">
        <v>4</v>
      </c>
      <c r="I26">
        <v>0</v>
      </c>
      <c r="J26">
        <v>0</v>
      </c>
      <c r="K26">
        <v>0</v>
      </c>
      <c r="L26">
        <v>159</v>
      </c>
    </row>
    <row r="27" spans="1:12" x14ac:dyDescent="0.25">
      <c r="A27" t="s">
        <v>42</v>
      </c>
      <c r="B27" s="3">
        <v>21882</v>
      </c>
      <c r="C27" s="3">
        <v>12897</v>
      </c>
      <c r="D27" s="3">
        <v>11641</v>
      </c>
      <c r="E27" s="3">
        <v>13379</v>
      </c>
      <c r="F27" s="3">
        <v>16543</v>
      </c>
      <c r="G27" s="3">
        <v>19960</v>
      </c>
      <c r="H27" s="3">
        <v>17731</v>
      </c>
      <c r="I27">
        <v>0</v>
      </c>
      <c r="J27">
        <v>0</v>
      </c>
      <c r="K27">
        <v>0</v>
      </c>
      <c r="L27" s="3">
        <v>14848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G16" sqref="G16"/>
    </sheetView>
  </sheetViews>
  <sheetFormatPr defaultRowHeight="15" x14ac:dyDescent="0.25"/>
  <sheetData>
    <row r="1" spans="1:21" x14ac:dyDescent="0.25">
      <c r="A1" t="s">
        <v>41</v>
      </c>
      <c r="B1">
        <v>9</v>
      </c>
      <c r="C1" s="3">
        <v>161133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9</v>
      </c>
      <c r="U1" s="3">
        <v>161133</v>
      </c>
    </row>
    <row r="2" spans="1:21" x14ac:dyDescent="0.25">
      <c r="A2" t="s">
        <v>40</v>
      </c>
      <c r="B2">
        <v>172</v>
      </c>
      <c r="C2" s="3">
        <v>4065992</v>
      </c>
      <c r="D2">
        <v>1</v>
      </c>
      <c r="E2" s="3">
        <v>20311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173</v>
      </c>
      <c r="U2" s="3">
        <v>4086304</v>
      </c>
    </row>
    <row r="3" spans="1:21" x14ac:dyDescent="0.25">
      <c r="A3" t="s">
        <v>39</v>
      </c>
      <c r="B3">
        <v>326</v>
      </c>
      <c r="C3" s="3">
        <v>9369049</v>
      </c>
      <c r="D3">
        <v>69</v>
      </c>
      <c r="E3" s="3">
        <v>2564107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395</v>
      </c>
      <c r="U3" s="3">
        <v>11933156</v>
      </c>
    </row>
    <row r="4" spans="1:21" x14ac:dyDescent="0.25">
      <c r="A4" t="s">
        <v>38</v>
      </c>
      <c r="B4">
        <v>287</v>
      </c>
      <c r="C4" s="3">
        <v>8454114</v>
      </c>
      <c r="D4">
        <v>132</v>
      </c>
      <c r="E4" s="3">
        <v>5366260</v>
      </c>
      <c r="F4">
        <v>28</v>
      </c>
      <c r="G4" s="3">
        <v>1291539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447</v>
      </c>
      <c r="U4" s="3">
        <v>15111913</v>
      </c>
    </row>
    <row r="5" spans="1:21" x14ac:dyDescent="0.25">
      <c r="A5" t="s">
        <v>37</v>
      </c>
      <c r="B5">
        <v>268</v>
      </c>
      <c r="C5" s="3">
        <v>8043577</v>
      </c>
      <c r="D5">
        <v>135</v>
      </c>
      <c r="E5" s="3">
        <v>5547753</v>
      </c>
      <c r="F5">
        <v>72</v>
      </c>
      <c r="G5" s="3">
        <v>3231538</v>
      </c>
      <c r="H5">
        <v>13</v>
      </c>
      <c r="I5" s="3">
        <v>552112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488</v>
      </c>
      <c r="U5" s="3">
        <v>17374979</v>
      </c>
    </row>
    <row r="6" spans="1:21" x14ac:dyDescent="0.25">
      <c r="A6" t="s">
        <v>36</v>
      </c>
      <c r="B6">
        <v>324</v>
      </c>
      <c r="C6" s="3">
        <v>9303126</v>
      </c>
      <c r="D6">
        <v>221</v>
      </c>
      <c r="E6" s="3">
        <v>8546333</v>
      </c>
      <c r="F6">
        <v>134</v>
      </c>
      <c r="G6" s="3">
        <v>5394276</v>
      </c>
      <c r="H6">
        <v>44</v>
      </c>
      <c r="I6" s="3">
        <v>2204696</v>
      </c>
      <c r="J6">
        <v>13</v>
      </c>
      <c r="K6" s="3">
        <v>571581</v>
      </c>
      <c r="L6">
        <v>3</v>
      </c>
      <c r="M6" s="3">
        <v>154335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739</v>
      </c>
      <c r="U6" s="3">
        <v>26174347</v>
      </c>
    </row>
    <row r="7" spans="1:21" x14ac:dyDescent="0.25">
      <c r="A7" t="s">
        <v>35</v>
      </c>
      <c r="B7">
        <v>335</v>
      </c>
      <c r="C7" s="3">
        <v>9806464</v>
      </c>
      <c r="D7">
        <v>293</v>
      </c>
      <c r="E7" s="3">
        <v>10772623</v>
      </c>
      <c r="F7">
        <v>173</v>
      </c>
      <c r="G7" s="3">
        <v>5958013</v>
      </c>
      <c r="H7">
        <v>100</v>
      </c>
      <c r="I7" s="3">
        <v>4287584</v>
      </c>
      <c r="J7">
        <v>42</v>
      </c>
      <c r="K7" s="3">
        <v>2341824</v>
      </c>
      <c r="L7">
        <v>23</v>
      </c>
      <c r="M7" s="3">
        <v>1204574</v>
      </c>
      <c r="N7">
        <v>1</v>
      </c>
      <c r="O7" s="3">
        <v>87385</v>
      </c>
      <c r="P7">
        <v>0</v>
      </c>
      <c r="Q7">
        <v>0</v>
      </c>
      <c r="R7">
        <v>0</v>
      </c>
      <c r="S7">
        <v>0</v>
      </c>
      <c r="T7">
        <v>967</v>
      </c>
      <c r="U7" s="3">
        <v>34458467</v>
      </c>
    </row>
    <row r="8" spans="1:21" x14ac:dyDescent="0.25">
      <c r="A8" t="s">
        <v>34</v>
      </c>
      <c r="B8">
        <v>367</v>
      </c>
      <c r="C8" s="3">
        <v>11753696</v>
      </c>
      <c r="D8">
        <v>267</v>
      </c>
      <c r="E8" s="3">
        <v>9474976</v>
      </c>
      <c r="F8">
        <v>267</v>
      </c>
      <c r="G8" s="3">
        <v>9779328</v>
      </c>
      <c r="H8">
        <v>135</v>
      </c>
      <c r="I8" s="3">
        <v>5108718</v>
      </c>
      <c r="J8">
        <v>65</v>
      </c>
      <c r="K8" s="3">
        <v>3043502</v>
      </c>
      <c r="L8">
        <v>41</v>
      </c>
      <c r="M8" s="3">
        <v>2155971</v>
      </c>
      <c r="N8">
        <v>19</v>
      </c>
      <c r="O8" s="3">
        <v>1018385</v>
      </c>
      <c r="P8">
        <v>4</v>
      </c>
      <c r="Q8" s="3">
        <v>217983</v>
      </c>
      <c r="R8">
        <v>0</v>
      </c>
      <c r="S8">
        <v>0</v>
      </c>
      <c r="T8" s="3">
        <v>1165</v>
      </c>
      <c r="U8" s="3">
        <v>42552559</v>
      </c>
    </row>
    <row r="9" spans="1:21" x14ac:dyDescent="0.25">
      <c r="A9" t="s">
        <v>33</v>
      </c>
      <c r="B9">
        <v>247</v>
      </c>
      <c r="C9" s="3">
        <v>7072319</v>
      </c>
      <c r="D9">
        <v>277</v>
      </c>
      <c r="E9" s="3">
        <v>9051293</v>
      </c>
      <c r="F9">
        <v>256</v>
      </c>
      <c r="G9" s="3">
        <v>8473207</v>
      </c>
      <c r="H9">
        <v>149</v>
      </c>
      <c r="I9" s="3">
        <v>5587316</v>
      </c>
      <c r="J9">
        <v>103</v>
      </c>
      <c r="K9" s="3">
        <v>4000758</v>
      </c>
      <c r="L9">
        <v>65</v>
      </c>
      <c r="M9" s="3">
        <v>2893147</v>
      </c>
      <c r="N9">
        <v>22</v>
      </c>
      <c r="O9" s="3">
        <v>1251665</v>
      </c>
      <c r="P9">
        <v>21</v>
      </c>
      <c r="Q9" s="3">
        <v>1200320</v>
      </c>
      <c r="R9">
        <v>1</v>
      </c>
      <c r="S9" s="3">
        <v>60905</v>
      </c>
      <c r="T9" s="3">
        <v>1141</v>
      </c>
      <c r="U9" s="3">
        <v>39590930</v>
      </c>
    </row>
    <row r="10" spans="1:21" x14ac:dyDescent="0.25">
      <c r="A10" t="s">
        <v>32</v>
      </c>
      <c r="B10">
        <v>150</v>
      </c>
      <c r="C10" s="3">
        <v>3995965</v>
      </c>
      <c r="D10">
        <v>186</v>
      </c>
      <c r="E10" s="3">
        <v>6622675</v>
      </c>
      <c r="F10">
        <v>175</v>
      </c>
      <c r="G10" s="3">
        <v>5964224</v>
      </c>
      <c r="H10">
        <v>127</v>
      </c>
      <c r="I10" s="3">
        <v>4654880</v>
      </c>
      <c r="J10">
        <v>74</v>
      </c>
      <c r="K10" s="3">
        <v>2735567</v>
      </c>
      <c r="L10">
        <v>56</v>
      </c>
      <c r="M10" s="3">
        <v>2510510</v>
      </c>
      <c r="N10">
        <v>16</v>
      </c>
      <c r="O10" s="3">
        <v>772417</v>
      </c>
      <c r="P10">
        <v>12</v>
      </c>
      <c r="Q10" s="3">
        <v>844881</v>
      </c>
      <c r="R10">
        <v>3</v>
      </c>
      <c r="S10" s="3">
        <v>155885</v>
      </c>
      <c r="T10">
        <v>799</v>
      </c>
      <c r="U10" s="3">
        <v>28257003</v>
      </c>
    </row>
    <row r="11" spans="1:21" x14ac:dyDescent="0.25">
      <c r="A11" t="s">
        <v>31</v>
      </c>
      <c r="B11">
        <v>35</v>
      </c>
      <c r="C11" s="3">
        <v>937584</v>
      </c>
      <c r="D11">
        <v>59</v>
      </c>
      <c r="E11" s="3">
        <v>1753347</v>
      </c>
      <c r="F11">
        <v>51</v>
      </c>
      <c r="G11" s="3">
        <v>1600434</v>
      </c>
      <c r="H11">
        <v>37</v>
      </c>
      <c r="I11" s="3">
        <v>1242507</v>
      </c>
      <c r="J11">
        <v>33</v>
      </c>
      <c r="K11" s="3">
        <v>1349360</v>
      </c>
      <c r="L11">
        <v>28</v>
      </c>
      <c r="M11" s="3">
        <v>973012</v>
      </c>
      <c r="N11">
        <v>6</v>
      </c>
      <c r="O11" s="3">
        <v>275935</v>
      </c>
      <c r="P11">
        <v>0</v>
      </c>
      <c r="Q11">
        <v>0</v>
      </c>
      <c r="R11">
        <v>3</v>
      </c>
      <c r="S11" s="3">
        <v>216923</v>
      </c>
      <c r="T11">
        <v>252</v>
      </c>
      <c r="U11" s="3">
        <v>8349103</v>
      </c>
    </row>
    <row r="12" spans="1:21" x14ac:dyDescent="0.25">
      <c r="A12" t="s">
        <v>30</v>
      </c>
      <c r="B12">
        <v>15</v>
      </c>
      <c r="C12" s="3">
        <v>326486</v>
      </c>
      <c r="D12">
        <v>19</v>
      </c>
      <c r="E12" s="3">
        <v>545160</v>
      </c>
      <c r="F12">
        <v>20</v>
      </c>
      <c r="G12" s="3">
        <v>655546</v>
      </c>
      <c r="H12">
        <v>10</v>
      </c>
      <c r="I12" s="3">
        <v>288759</v>
      </c>
      <c r="J12">
        <v>11</v>
      </c>
      <c r="K12" s="3">
        <v>413424</v>
      </c>
      <c r="L12">
        <v>7</v>
      </c>
      <c r="M12" s="3">
        <v>302872</v>
      </c>
      <c r="N12">
        <v>2</v>
      </c>
      <c r="O12" s="3">
        <v>93550</v>
      </c>
      <c r="P12">
        <v>3</v>
      </c>
      <c r="Q12" s="3">
        <v>213729</v>
      </c>
      <c r="R12">
        <v>2</v>
      </c>
      <c r="S12" s="3">
        <v>79782</v>
      </c>
      <c r="T12">
        <v>89</v>
      </c>
      <c r="U12" s="3">
        <v>2919308</v>
      </c>
    </row>
    <row r="13" spans="1:21" x14ac:dyDescent="0.25">
      <c r="A13" t="s">
        <v>29</v>
      </c>
      <c r="B13" s="3">
        <v>2535</v>
      </c>
      <c r="C13" s="3">
        <v>73289505</v>
      </c>
      <c r="D13" s="3">
        <v>1659</v>
      </c>
      <c r="E13" s="3">
        <v>60264838</v>
      </c>
      <c r="F13" s="3">
        <v>1176</v>
      </c>
      <c r="G13" s="3">
        <v>42348105</v>
      </c>
      <c r="H13">
        <v>615</v>
      </c>
      <c r="I13" s="3">
        <v>23926573</v>
      </c>
      <c r="J13">
        <v>341</v>
      </c>
      <c r="K13" s="3">
        <v>14456015</v>
      </c>
      <c r="L13">
        <v>223</v>
      </c>
      <c r="M13" s="3">
        <v>10194420</v>
      </c>
      <c r="N13">
        <v>66</v>
      </c>
      <c r="O13" s="3">
        <v>3499337</v>
      </c>
      <c r="P13">
        <v>40</v>
      </c>
      <c r="Q13" s="3">
        <v>2476913</v>
      </c>
      <c r="R13">
        <v>9</v>
      </c>
      <c r="S13" s="3">
        <v>513495</v>
      </c>
      <c r="T13" s="3">
        <v>6664</v>
      </c>
      <c r="U13" s="3">
        <v>230969202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s="9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VSERS</vt:lpstr>
      <vt:lpstr>VSERS_SalaryGrowth</vt:lpstr>
      <vt:lpstr>VSERSben</vt:lpstr>
      <vt:lpstr>VSTRS</vt:lpstr>
      <vt:lpstr>VSTRS_SalaryGrowth</vt:lpstr>
      <vt:lpstr>VSTRS_service</vt:lpstr>
      <vt:lpstr>VSTRS_disab</vt:lpstr>
      <vt:lpstr>VMERS</vt:lpstr>
      <vt:lpstr>VMERS_SalaryGrowth</vt:lpstr>
      <vt:lpstr>VMERSben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Matt Considine</cp:lastModifiedBy>
  <cp:lastPrinted>2015-06-24T13:28:05Z</cp:lastPrinted>
  <dcterms:created xsi:type="dcterms:W3CDTF">2015-05-07T15:56:34Z</dcterms:created>
  <dcterms:modified xsi:type="dcterms:W3CDTF">2015-09-09T14:13:00Z</dcterms:modified>
</cp:coreProperties>
</file>