
<file path=[Content_Types].xml><?xml version="1.0" encoding="utf-8"?>
<Types xmlns="http://schemas.openxmlformats.org/package/2006/content-types">
  <Override PartName="/xl/tables/table4.xml" ContentType="application/vnd.openxmlformats-officedocument.spreadsheetml.table+xml"/>
  <Override PartName="/xl/tables/table25.xml" ContentType="application/vnd.openxmlformats-officedocument.spreadsheetml.table+xml"/>
  <Override PartName="/xl/tables/table43.xml" ContentType="application/vnd.openxmlformats-officedocument.spreadsheetml.table+xml"/>
  <Override PartName="/xl/tables/table54.xml" ContentType="application/vnd.openxmlformats-officedocument.spreadsheetml.table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2.xml" ContentType="application/vnd.openxmlformats-officedocument.spreadsheetml.table+xml"/>
  <Override PartName="/xl/tables/table14.xml" ContentType="application/vnd.openxmlformats-officedocument.spreadsheetml.table+xml"/>
  <Override PartName="/xl/tables/table23.xml" ContentType="application/vnd.openxmlformats-officedocument.spreadsheetml.table+xml"/>
  <Override PartName="/xl/tables/table32.xml" ContentType="application/vnd.openxmlformats-officedocument.spreadsheetml.table+xml"/>
  <Override PartName="/xl/tables/table41.xml" ContentType="application/vnd.openxmlformats-officedocument.spreadsheetml.table+xml"/>
  <Override PartName="/xl/tables/table52.xml" ContentType="application/vnd.openxmlformats-officedocument.spreadsheetml.table+xml"/>
  <Override PartName="/customXml/itemProps1.xml" ContentType="application/vnd.openxmlformats-officedocument.customXmlProperties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worksheets/sheet20.xml" ContentType="application/vnd.openxmlformats-officedocument.spreadsheetml.worksheet+xml"/>
  <Override PartName="/xl/tables/table12.xml" ContentType="application/vnd.openxmlformats-officedocument.spreadsheetml.table+xml"/>
  <Override PartName="/xl/tables/table21.xml" ContentType="application/vnd.openxmlformats-officedocument.spreadsheetml.table+xml"/>
  <Override PartName="/xl/tables/table30.xml" ContentType="application/vnd.openxmlformats-officedocument.spreadsheetml.table+xml"/>
  <Override PartName="/xl/tables/table50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tables/table10.xml" ContentType="application/vnd.openxmlformats-officedocument.spreadsheetml.table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ables/table9.xml" ContentType="application/vnd.openxmlformats-officedocument.spreadsheetml.table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19.xml" ContentType="application/vnd.openxmlformats-officedocument.spreadsheetml.table+xml"/>
  <Override PartName="/xl/tables/table39.xml" ContentType="application/vnd.openxmlformats-officedocument.spreadsheetml.table+xml"/>
  <Override PartName="/xl/tables/table48.xml" ContentType="application/vnd.openxmlformats-officedocument.spreadsheetml.table+xml"/>
  <Override PartName="/xl/tables/table57.xml" ContentType="application/vnd.openxmlformats-officedocument.spreadsheetml.table+xml"/>
  <Override PartName="/xl/worksheets/sheet18.xml" ContentType="application/vnd.openxmlformats-officedocument.spreadsheetml.worksheet+xml"/>
  <Override PartName="/xl/tables/table5.xml" ContentType="application/vnd.openxmlformats-officedocument.spreadsheetml.table+xml"/>
  <Override PartName="/xl/tables/table17.xml" ContentType="application/vnd.openxmlformats-officedocument.spreadsheetml.table+xml"/>
  <Override PartName="/xl/tables/table26.xml" ContentType="application/vnd.openxmlformats-officedocument.spreadsheetml.table+xml"/>
  <Override PartName="/xl/tables/table28.xml" ContentType="application/vnd.openxmlformats-officedocument.spreadsheetml.table+xml"/>
  <Override PartName="/xl/tables/table37.xml" ContentType="application/vnd.openxmlformats-officedocument.spreadsheetml.table+xml"/>
  <Override PartName="/xl/tables/table46.xml" ContentType="application/vnd.openxmlformats-officedocument.spreadsheetml.table+xml"/>
  <Override PartName="/xl/tables/table55.xml" ContentType="application/vnd.openxmlformats-officedocument.spreadsheetml.table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15.xml" ContentType="application/vnd.openxmlformats-officedocument.spreadsheetml.table+xml"/>
  <Override PartName="/xl/tables/table24.xml" ContentType="application/vnd.openxmlformats-officedocument.spreadsheetml.table+xml"/>
  <Override PartName="/xl/tables/table35.xml" ContentType="application/vnd.openxmlformats-officedocument.spreadsheetml.table+xml"/>
  <Override PartName="/xl/tables/table44.xml" ContentType="application/vnd.openxmlformats-officedocument.spreadsheetml.table+xml"/>
  <Override PartName="/xl/tables/table53.xml" ContentType="application/vnd.openxmlformats-officedocument.spreadsheetml.table+xml"/>
  <Override PartName="/customXml/itemProps2.xml" ContentType="application/vnd.openxmlformats-officedocument.customXmlProperties+xml"/>
  <Override PartName="/xl/worksheets/sheet14.xml" ContentType="application/vnd.openxmlformats-officedocument.spreadsheetml.worksheet+xml"/>
  <Override PartName="/xl/tables/table1.xml" ContentType="application/vnd.openxmlformats-officedocument.spreadsheetml.table+xml"/>
  <Override PartName="/xl/tables/table13.xml" ContentType="application/vnd.openxmlformats-officedocument.spreadsheetml.table+xml"/>
  <Override PartName="/xl/tables/table22.xml" ContentType="application/vnd.openxmlformats-officedocument.spreadsheetml.table+xml"/>
  <Override PartName="/xl/tables/table33.xml" ContentType="application/vnd.openxmlformats-officedocument.spreadsheetml.table+xml"/>
  <Override PartName="/xl/tables/table42.xml" ContentType="application/vnd.openxmlformats-officedocument.spreadsheetml.table+xml"/>
  <Override PartName="/xl/tables/table51.xml" ContentType="application/vnd.openxmlformats-officedocument.spreadsheetml.table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Default Extension="jpeg" ContentType="image/jpeg"/>
  <Override PartName="/xl/tables/table11.xml" ContentType="application/vnd.openxmlformats-officedocument.spreadsheetml.table+xml"/>
  <Override PartName="/xl/tables/table20.xml" ContentType="application/vnd.openxmlformats-officedocument.spreadsheetml.table+xml"/>
  <Override PartName="/xl/tables/table31.xml" ContentType="application/vnd.openxmlformats-officedocument.spreadsheetml.table+xml"/>
  <Override PartName="/xl/tables/table40.xml" ContentType="application/vnd.openxmlformats-officedocument.spreadsheetml.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externalLinks/externalLink2.xml" ContentType="application/vnd.openxmlformats-officedocument.spreadsheetml.externalLink+xml"/>
  <Override PartName="/xl/drawings/drawing1.xml" ContentType="application/vnd.openxmlformats-officedocument.drawing+xml"/>
  <Default Extension="vml" ContentType="application/vnd.openxmlformats-officedocument.vmlDrawing"/>
  <Override PartName="/xl/tables/table49.xml" ContentType="application/vnd.openxmlformats-officedocument.spreadsheetml.table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tables/table8.xml" ContentType="application/vnd.openxmlformats-officedocument.spreadsheetml.table+xml"/>
  <Override PartName="/xl/tables/table29.xml" ContentType="application/vnd.openxmlformats-officedocument.spreadsheetml.table+xml"/>
  <Override PartName="/xl/tables/table38.xml" ContentType="application/vnd.openxmlformats-officedocument.spreadsheetml.table+xml"/>
  <Override PartName="/xl/tables/table47.xml" ContentType="application/vnd.openxmlformats-officedocument.spreadsheetml.table+xml"/>
  <Override PartName="/xl/tables/table58.xml" ContentType="application/vnd.openxmlformats-officedocument.spreadsheetml.table+xml"/>
  <Override PartName="/xl/worksheets/sheet17.xml" ContentType="application/vnd.openxmlformats-officedocument.spreadsheetml.worksheet+xml"/>
  <Override PartName="/xl/tables/table6.xml" ContentType="application/vnd.openxmlformats-officedocument.spreadsheetml.table+xml"/>
  <Override PartName="/xl/tables/table18.xml" ContentType="application/vnd.openxmlformats-officedocument.spreadsheetml.table+xml"/>
  <Override PartName="/xl/tables/table27.xml" ContentType="application/vnd.openxmlformats-officedocument.spreadsheetml.table+xml"/>
  <Override PartName="/xl/tables/table36.xml" ContentType="application/vnd.openxmlformats-officedocument.spreadsheetml.table+xml"/>
  <Override PartName="/xl/tables/table45.xml" ContentType="application/vnd.openxmlformats-officedocument.spreadsheetml.table+xml"/>
  <Override PartName="/xl/tables/table56.xml" ContentType="application/vnd.openxmlformats-officedocument.spreadsheetml.table+xml"/>
  <Override PartName="/xl/ctrlProps/ctrlProp1.xml" ContentType="application/vnd.ms-excel.controlproperties+xml"/>
  <Override PartName="/docProps/core.xml" ContentType="application/vnd.openxmlformats-package.core-properties+xml"/>
  <Override PartName="/xl/worksheets/sheet15.xml" ContentType="application/vnd.openxmlformats-officedocument.spreadsheetml.worksheet+xml"/>
  <Override PartName="/xl/tables/table16.xml" ContentType="application/vnd.openxmlformats-officedocument.spreadsheetml.table+xml"/>
  <Override PartName="/xl/tables/table34.xml" ContentType="application/vnd.openxmlformats-officedocument.spreadsheetml.table+xml"/>
  <Override PartName="/customXml/itemProps3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 codeName="{7FF41506-D638-49D5-72EF-22EC70B826FC}"/>
  <workbookPr showInkAnnotation="0" codeName="ThisWorkbook"/>
  <bookViews>
    <workbookView xWindow="0" yWindow="0" windowWidth="20730" windowHeight="9225" tabRatio="780"/>
  </bookViews>
  <sheets>
    <sheet name="Input" sheetId="2" r:id="rId1"/>
    <sheet name="Skill Summary" sheetId="23" r:id="rId2"/>
    <sheet name="Detailed Report" sheetId="15" r:id="rId3"/>
    <sheet name="Math Report" sheetId="8" r:id="rId4"/>
    <sheet name="Reading Report" sheetId="6" r:id="rId5"/>
    <sheet name="Report Front" sheetId="5" r:id="rId6"/>
    <sheet name="Raw Score Check" sheetId="4" state="hidden" r:id="rId7"/>
    <sheet name="PT Answer Tables" sheetId="1" state="hidden" r:id="rId8"/>
    <sheet name="PT 1 Scaled Score Tables" sheetId="17" state="hidden" r:id="rId9"/>
    <sheet name="PT 6 Scaled Score Tables" sheetId="27" state="hidden" r:id="rId10"/>
    <sheet name="PT 5 Scaled Score Tables" sheetId="24" state="hidden" r:id="rId11"/>
    <sheet name="PT 2 Scaled Score Tables" sheetId="20" state="hidden" r:id="rId12"/>
    <sheet name="PT 3 Scaled Score Tables" sheetId="21" state="hidden" r:id="rId13"/>
    <sheet name="PT 4 Scaled Score Tables" sheetId="22" state="hidden" r:id="rId14"/>
    <sheet name="PT 1 Skill Tables" sheetId="10" state="hidden" r:id="rId15"/>
    <sheet name="PT 6 Skill Tables" sheetId="26" state="hidden" r:id="rId16"/>
    <sheet name="PT 5 Skill Tables" sheetId="25" state="hidden" r:id="rId17"/>
    <sheet name="PT 2 Skill Tables" sheetId="12" state="hidden" r:id="rId18"/>
    <sheet name="PT 3 Skill Tables" sheetId="18" state="hidden" r:id="rId19"/>
    <sheet name="PT 4 Skill Tables" sheetId="19" state="hidden" r:id="rId20"/>
    <sheet name="Skill Key" sheetId="16" state="hidden" r:id="rId21"/>
    <sheet name="Key" sheetId="11" state="hidden" r:id="rId22"/>
  </sheets>
  <externalReferences>
    <externalReference r:id="rId23"/>
    <externalReference r:id="rId24"/>
  </externalReferences>
  <definedNames>
    <definedName name="AdditionalTopics" localSheetId="20">'Skill Key'!$E$5:$E$12</definedName>
    <definedName name="AdditionalTopics">Key!$E$5:$E$12</definedName>
    <definedName name="AdditionalTopicsinMath" localSheetId="20">'Skill Key'!$E$5:$E$12</definedName>
    <definedName name="AdditionalTopicsinMath">Key!$E$5:$E$12</definedName>
    <definedName name="CommandofEvidenceScore">'Raw Score Check'!$Y$57</definedName>
    <definedName name="DateInput">Input!$C$5</definedName>
    <definedName name="DependentList" localSheetId="21">INDEX(Table1716[], ,MATCH('PT 1 Skill Tables'!$C$5,Key!MathHeader,0))</definedName>
    <definedName name="DependentList" localSheetId="11">INDEX(Table17[#Data], ,MATCH('PT 1 Skill Tables'!XFD1,'PT 2 Scaled Score Tables'!MathHeader,0))</definedName>
    <definedName name="DependentList" localSheetId="12">INDEX(Table17[#Data], ,MATCH('PT 1 Skill Tables'!XFD1,'PT 3 Scaled Score Tables'!MathHeader,0))</definedName>
    <definedName name="DependentList" localSheetId="13">INDEX(Table17[#Data], ,MATCH('PT 1 Skill Tables'!XFD1,'PT 4 Scaled Score Tables'!MathHeader,0))</definedName>
    <definedName name="DependentList" localSheetId="10">INDEX(Table17[#Data], ,MATCH('PT 1 Skill Tables'!XFD1,'PT 5 Scaled Score Tables'!MathHeader,0))</definedName>
    <definedName name="DependentList" localSheetId="16">INDEX(Table17[#Data], ,MATCH('PT 5 Skill Tables'!XFD1,'PT 5 Skill Tables'!MathHeader,0))</definedName>
    <definedName name="DependentList" localSheetId="9">INDEX(Table17[#Data], ,MATCH('PT 1 Skill Tables'!XFD1,'PT 6 Scaled Score Tables'!MathHeader,0))</definedName>
    <definedName name="DependentList" localSheetId="15">INDEX(Table17[#Data], ,MATCH('PT 6 Skill Tables'!XFD1,'PT 6 Skill Tables'!MathHeader,0))</definedName>
    <definedName name="DependentList">INDEX(Table17[#Data], ,MATCH('PT 1 Skill Tables'!XFD1,Key!MathHeader,0))</definedName>
    <definedName name="HeartofAlgebra" localSheetId="20">'Skill Key'!$B$5:$B$13</definedName>
    <definedName name="HeartofAlgebra">Key!$B$5:$B$13</definedName>
    <definedName name="HistoryRawScore">'Raw Score Check'!$AB$57</definedName>
    <definedName name="HoA_Skills" localSheetId="20">'Skill Key'!$B$5:$B$13</definedName>
    <definedName name="HoA_Skills">Key!$B$5:$B$13</definedName>
    <definedName name="Math_Categories" localSheetId="20">'Skill Key'!$C$3:$D$7</definedName>
    <definedName name="Math_Categories">Key!$C$3:$D$7</definedName>
    <definedName name="MathDependentList" localSheetId="11">INDEX(Table1727[], , MATCH('PT 1 Skill Tables'!$T1:$W1,Table1727[#Headers],0))</definedName>
    <definedName name="MathDependentList" localSheetId="12">INDEX(Table1727[], , MATCH('PT 1 Skill Tables'!$T1:$W1,Table1727[#Headers],0))</definedName>
    <definedName name="MathDependentList" localSheetId="13">INDEX(Table1727[], , MATCH('PT 1 Skill Tables'!$T1:$W1,Table1727[#Headers],0))</definedName>
    <definedName name="MathDependentList" localSheetId="10">INDEX(Table1727[], , MATCH('PT 1 Skill Tables'!$T1:$W1,Table1727[#Headers],0))</definedName>
    <definedName name="MathDependentList" localSheetId="16">INDEX(Table1727[], , MATCH('PT 5 Skill Tables'!$T1:$W1,Table1727[#Headers],0))</definedName>
    <definedName name="MathDependentList" localSheetId="9">INDEX(Table1727[], , MATCH('PT 1 Skill Tables'!$T1:$W1,Table1727[#Headers],0))</definedName>
    <definedName name="MathDependentList" localSheetId="15">INDEX(Table1727[], , MATCH('PT 6 Skill Tables'!$T1:$W1,Table1727[#Headers],0))</definedName>
    <definedName name="MathDependentList">INDEX(Table1727[], , MATCH('PT 1 Skill Tables'!$T1:$W1,Table1727[#Headers],0))</definedName>
    <definedName name="MathDependentList11" localSheetId="11">INDEX(Table1727[], , MATCH('PT 2 Skill Tables'!XFD1,Table1727[#Headers],0))</definedName>
    <definedName name="MathDependentList11" localSheetId="12">INDEX(Table1727[], , MATCH('PT 2 Skill Tables'!XFD1,Table1727[#Headers],0))</definedName>
    <definedName name="MathDependentList11" localSheetId="13">INDEX(Table1727[], , MATCH('PT 2 Skill Tables'!XFD1,Table1727[#Headers],0))</definedName>
    <definedName name="MathDependentList11" localSheetId="10">INDEX(Table1727[], , MATCH('PT 2 Skill Tables'!XFD1,Table1727[#Headers],0))</definedName>
    <definedName name="MathDependentList11" localSheetId="16">INDEX(Table1727[], , MATCH('PT 2 Skill Tables'!XFD1,Table1727[#Headers],0))</definedName>
    <definedName name="MathDependentList11" localSheetId="9">INDEX(Table1727[], , MATCH('PT 2 Skill Tables'!XFD1,Table1727[#Headers],0))</definedName>
    <definedName name="MathDependentList11" localSheetId="15">INDEX(Table1727[], , MATCH('PT 2 Skill Tables'!XFD1,Table1727[#Headers],0))</definedName>
    <definedName name="MathDependentList11">INDEX(Table1727[], , MATCH('PT 2 Skill Tables'!XFD1,Table1727[#Headers],0))</definedName>
    <definedName name="MathDependentList111" localSheetId="11">INDEX(Table1727[], , MATCH('PT 3 Skill Tables'!XFD1,Table1727[#Headers],0))</definedName>
    <definedName name="MathDependentList111" localSheetId="12">INDEX(Table1727[], , MATCH('PT 3 Skill Tables'!XFD1,Table1727[#Headers],0))</definedName>
    <definedName name="MathDependentList111" localSheetId="13">INDEX(Table1727[], , MATCH('PT 3 Skill Tables'!XFD1,Table1727[#Headers],0))</definedName>
    <definedName name="MathDependentList111" localSheetId="10">INDEX(Table1727[], , MATCH('PT 3 Skill Tables'!XFD1,Table1727[#Headers],0))</definedName>
    <definedName name="MathDependentList111" localSheetId="16">INDEX(Table1727[], , MATCH('PT 3 Skill Tables'!XFD1,Table1727[#Headers],0))</definedName>
    <definedName name="MathDependentList111" localSheetId="9">INDEX(Table1727[], , MATCH('PT 3 Skill Tables'!XFD1,Table1727[#Headers],0))</definedName>
    <definedName name="MathDependentList111" localSheetId="15">INDEX(Table1727[], , MATCH('PT 3 Skill Tables'!XFD1,Table1727[#Headers],0))</definedName>
    <definedName name="MathDependentList111">INDEX(Table1727[], , MATCH('PT 3 Skill Tables'!XFD1,Table1727[#Headers],0))</definedName>
    <definedName name="MathDependentList1111" localSheetId="11">INDEX(Table1727[], , MATCH('PT 4 Skill Tables'!XFD1,Table1727[#Headers],0))</definedName>
    <definedName name="MathDependentList1111" localSheetId="12">INDEX(Table1727[], , MATCH('PT 4 Skill Tables'!XFD1,Table1727[#Headers],0))</definedName>
    <definedName name="MathDependentList1111" localSheetId="13">INDEX(Table1727[], , MATCH('PT 4 Skill Tables'!XFD1,Table1727[#Headers],0))</definedName>
    <definedName name="MathDependentList1111" localSheetId="10">INDEX(Table1727[], , MATCH('PT 4 Skill Tables'!XFD1,Table1727[#Headers],0))</definedName>
    <definedName name="MathDependentList1111" localSheetId="16">INDEX(Table1727[], , MATCH('PT 4 Skill Tables'!XFD1,Table1727[#Headers],0))</definedName>
    <definedName name="MathDependentList1111" localSheetId="9">INDEX(Table1727[], , MATCH('PT 4 Skill Tables'!XFD1,Table1727[#Headers],0))</definedName>
    <definedName name="MathDependentList1111" localSheetId="15">INDEX(Table1727[], , MATCH('PT 4 Skill Tables'!XFD1,Table1727[#Headers],0))</definedName>
    <definedName name="MathDependentList1111">INDEX(Table1727[], , MATCH('PT 4 Skill Tables'!XFD1,Table1727[#Headers],0))</definedName>
    <definedName name="MathDependentList2" localSheetId="11">INDEX(Table1727[], , MATCH('PT 1 Skill Tables'!XFD1,Table1727[#Headers],0))</definedName>
    <definedName name="MathDependentList2" localSheetId="12">INDEX(Table1727[], , MATCH('PT 1 Skill Tables'!XFD1,Table1727[#Headers],0))</definedName>
    <definedName name="MathDependentList2" localSheetId="13">INDEX(Table1727[], , MATCH('PT 1 Skill Tables'!XFD1,Table1727[#Headers],0))</definedName>
    <definedName name="MathDependentList2" localSheetId="10">INDEX(Table1727[], , MATCH('PT 1 Skill Tables'!XFD1,Table1727[#Headers],0))</definedName>
    <definedName name="MathDependentList2" localSheetId="16">INDEX(Table1727[], , MATCH('PT 5 Skill Tables'!XFD1,Table1727[#Headers],0))</definedName>
    <definedName name="MathDependentList2" localSheetId="9">INDEX(Table1727[], , MATCH('PT 1 Skill Tables'!XFD1,Table1727[#Headers],0))</definedName>
    <definedName name="MathDependentList2" localSheetId="15">INDEX(Table1727[], , MATCH('PT 6 Skill Tables'!XFD1,Table1727[#Headers],0))</definedName>
    <definedName name="MathDependentList2">INDEX(Table1727[], , MATCH('PT 1 Skill Tables'!XFD1,Table1727[#Headers],0))</definedName>
    <definedName name="MathDependentList22" localSheetId="11">INDEX(Table1727[], , MATCH('PT 2 Skill Tables'!XFD1,Table1727[#Headers],0))</definedName>
    <definedName name="MathDependentList22" localSheetId="12">INDEX(Table1727[], , MATCH('PT 2 Skill Tables'!XFD1,Table1727[#Headers],0))</definedName>
    <definedName name="MathDependentList22" localSheetId="13">INDEX(Table1727[], , MATCH('PT 2 Skill Tables'!XFD1,Table1727[#Headers],0))</definedName>
    <definedName name="MathDependentList22" localSheetId="10">INDEX(Table1727[], , MATCH('PT 2 Skill Tables'!XFD1,Table1727[#Headers],0))</definedName>
    <definedName name="MathDependentList22" localSheetId="16">INDEX(Table1727[], , MATCH('PT 2 Skill Tables'!XFD1,Table1727[#Headers],0))</definedName>
    <definedName name="MathDependentList22" localSheetId="9">INDEX(Table1727[], , MATCH('PT 2 Skill Tables'!XFD1,Table1727[#Headers],0))</definedName>
    <definedName name="MathDependentList22" localSheetId="15">INDEX(Table1727[], , MATCH('PT 2 Skill Tables'!XFD1,Table1727[#Headers],0))</definedName>
    <definedName name="MathDependentList22">INDEX(Table1727[], , MATCH('PT 2 Skill Tables'!XFD1,Table1727[#Headers],0))</definedName>
    <definedName name="MathDependentList222" localSheetId="11">INDEX(Table1727[], , MATCH('PT 3 Skill Tables'!XFD1,Table1727[#Headers],0))</definedName>
    <definedName name="MathDependentList222" localSheetId="12">INDEX(Table1727[], , MATCH('PT 3 Skill Tables'!XFD1,Table1727[#Headers],0))</definedName>
    <definedName name="MathDependentList222" localSheetId="13">INDEX(Table1727[], , MATCH('PT 3 Skill Tables'!XFD1,Table1727[#Headers],0))</definedName>
    <definedName name="MathDependentList222" localSheetId="10">INDEX(Table1727[], , MATCH('PT 3 Skill Tables'!XFD1,Table1727[#Headers],0))</definedName>
    <definedName name="MathDependentList222" localSheetId="16">INDEX(Table1727[], , MATCH('PT 3 Skill Tables'!XFD1,Table1727[#Headers],0))</definedName>
    <definedName name="MathDependentList222" localSheetId="9">INDEX(Table1727[], , MATCH('PT 3 Skill Tables'!XFD1,Table1727[#Headers],0))</definedName>
    <definedName name="MathDependentList222" localSheetId="15">INDEX(Table1727[], , MATCH('PT 3 Skill Tables'!XFD1,Table1727[#Headers],0))</definedName>
    <definedName name="MathDependentList222">INDEX(Table1727[], , MATCH('PT 3 Skill Tables'!XFD1,Table1727[#Headers],0))</definedName>
    <definedName name="MathDependentList2222" localSheetId="11">INDEX(Table1727[], , MATCH('PT 4 Skill Tables'!XFD1,Table1727[#Headers],0))</definedName>
    <definedName name="MathDependentList2222" localSheetId="12">INDEX(Table1727[], , MATCH('PT 4 Skill Tables'!XFD1,Table1727[#Headers],0))</definedName>
    <definedName name="MathDependentList2222" localSheetId="13">INDEX(Table1727[], , MATCH('PT 4 Skill Tables'!XFD1,Table1727[#Headers],0))</definedName>
    <definedName name="MathDependentList2222" localSheetId="10">INDEX(Table1727[], , MATCH('PT 4 Skill Tables'!XFD1,Table1727[#Headers],0))</definedName>
    <definedName name="MathDependentList2222" localSheetId="16">INDEX(Table1727[], , MATCH('PT 4 Skill Tables'!XFD1,Table1727[#Headers],0))</definedName>
    <definedName name="MathDependentList2222" localSheetId="9">INDEX(Table1727[], , MATCH('PT 4 Skill Tables'!XFD1,Table1727[#Headers],0))</definedName>
    <definedName name="MathDependentList2222" localSheetId="15">INDEX(Table1727[], , MATCH('PT 4 Skill Tables'!XFD1,Table1727[#Headers],0))</definedName>
    <definedName name="MathDependentList2222">INDEX(Table1727[], , MATCH('PT 4 Skill Tables'!XFD1,Table1727[#Headers],0))</definedName>
    <definedName name="MathHeader" localSheetId="21">Table1716[#Headers]</definedName>
    <definedName name="MathHeader" localSheetId="11">Table1727[#Headers]</definedName>
    <definedName name="MathHeader" localSheetId="12">Table1727[#Headers]</definedName>
    <definedName name="MathHeader" localSheetId="13">Table1727[#Headers]</definedName>
    <definedName name="MathHeader" localSheetId="10">Table1727[#Headers]</definedName>
    <definedName name="MathHeader" localSheetId="16">Table1727[#Headers]</definedName>
    <definedName name="MathHeader" localSheetId="9">Table1727[#Headers]</definedName>
    <definedName name="MathHeader" localSheetId="15">Table1727[#Headers]</definedName>
    <definedName name="MathHeader">Table1727[#Headers]</definedName>
    <definedName name="MathRawScore">'Raw Score Check'!$N$59</definedName>
    <definedName name="MathSkillDropdown" localSheetId="16">'PT 5 Skill Tables'!$U$5</definedName>
    <definedName name="MathSkillDropdown" localSheetId="15">'PT 6 Skill Tables'!$U$5</definedName>
    <definedName name="MathSkillDropdown">'PT 1 Skill Tables'!$U$5</definedName>
    <definedName name="MathSkills" localSheetId="21">Table1716[#Headers]</definedName>
    <definedName name="MathSkills" localSheetId="11">Table1727[#Headers]</definedName>
    <definedName name="MathSkills" localSheetId="12">Table1727[#Headers]</definedName>
    <definedName name="MathSkills" localSheetId="13">Table1727[#Headers]</definedName>
    <definedName name="MathSkills" localSheetId="10">Table1727[#Headers]</definedName>
    <definedName name="MathSkills" localSheetId="16">Table1727[#Headers]</definedName>
    <definedName name="MathSkills" localSheetId="9">Table1727[#Headers]</definedName>
    <definedName name="MathSkills" localSheetId="15">Table1727[#Headers]</definedName>
    <definedName name="MathSkills">Table1727[#Headers]</definedName>
    <definedName name="OldDependentList" localSheetId="11">INDEX([1]!Table17[#Data], ,MATCH('[1]PT 1'!XFD1,OldMathHeader,0))</definedName>
    <definedName name="OldDependentList" localSheetId="12">INDEX([1]!Table17[#Data], ,MATCH('[1]PT 1'!XFD1,OldMathHeader,0))</definedName>
    <definedName name="OldDependentList" localSheetId="13">INDEX([1]!Table17[#Data], ,MATCH('[1]PT 1'!XFD1,OldMathHeader,0))</definedName>
    <definedName name="OldDependentList" localSheetId="10">INDEX([1]!Table17[#Data], ,MATCH('[1]PT 1'!XFD1,OldMathHeader,0))</definedName>
    <definedName name="OldDependentList" localSheetId="16">INDEX([1]!Table17[#Data], ,MATCH('[1]PT 1'!XFD1,OldMathHeader,0))</definedName>
    <definedName name="OldDependentList" localSheetId="9">INDEX([1]!Table17[#Data], ,MATCH('[1]PT 1'!XFD1,OldMathHeader,0))</definedName>
    <definedName name="OldDependentList" localSheetId="15">INDEX([1]!Table17[#Data], ,MATCH('[1]PT 1'!XFD1,OldMathHeader,0))</definedName>
    <definedName name="OldDependentList">INDEX([1]!Table17[#Data], ,MATCH('[1]PT 1'!XFD1,OldMathHeader,0))</definedName>
    <definedName name="PassporttoAdvancedMathematics" localSheetId="20">'Skill Key'!$C$4:$C$18</definedName>
    <definedName name="PassporttoAdvancedMathematics">Key!$C$4:$C$18</definedName>
    <definedName name="Practice_Tests" localSheetId="11">PracticeTests[[#Headers],[Practice Tests]]</definedName>
    <definedName name="Practice_Tests" localSheetId="12">PracticeTests[[#Headers],[Practice Tests]]</definedName>
    <definedName name="Practice_Tests" localSheetId="13">PracticeTests[[#Headers],[Practice Tests]]</definedName>
    <definedName name="Practice_Tests" localSheetId="10">PracticeTests[[#Headers],[Practice Tests]]</definedName>
    <definedName name="Practice_Tests" localSheetId="16">PracticeTests[[#Headers],[Practice Tests]]</definedName>
    <definedName name="Practice_Tests" localSheetId="9">PracticeTests[[#Headers],[Practice Tests]]</definedName>
    <definedName name="Practice_Tests" localSheetId="15">PracticeTests[[#Headers],[Practice Tests]]</definedName>
    <definedName name="Practice_Tests">PracticeTests[[#Headers],[Practice Tests]]</definedName>
    <definedName name="_xlnm.Print_Area" localSheetId="2">'Detailed Report'!$A$1:$G$163</definedName>
    <definedName name="_xlnm.Print_Area" localSheetId="3">'Math Report'!$A$1:$F$75</definedName>
    <definedName name="_xlnm.Print_Area" localSheetId="4">'Reading Report'!$A$1:$F$47</definedName>
    <definedName name="_xlnm.Print_Area" localSheetId="5">'Report Front'!$A$1:$N$33</definedName>
    <definedName name="_xlnm.Print_Area" localSheetId="1">'Skill Summary'!$A$1:$G$157</definedName>
    <definedName name="ProblemSolvingandDataAnalysis" localSheetId="20">'Skill Key'!$D$5:$D$14</definedName>
    <definedName name="ProblemSolvingandDataAnalysis">Key!$D$5:$D$14</definedName>
    <definedName name="PS_Data" localSheetId="20">'Skill Key'!$D$5:$D$14</definedName>
    <definedName name="PS_Data">Key!$D$5:$D$14</definedName>
    <definedName name="PT1Math2Answers">'PT Answer Tables'!$Z$3:$AA$41</definedName>
    <definedName name="PT1ReadingAnswers">'PT Answer Tables'!$B$3:$C$55</definedName>
    <definedName name="PT1ScaledScores" localSheetId="11">Table4141[#All]</definedName>
    <definedName name="PT1ScaledScores" localSheetId="12">Table414143[#All]</definedName>
    <definedName name="PT1ScaledScores" localSheetId="13">Table41414349[#All]</definedName>
    <definedName name="PT1ScaledScores" localSheetId="10">Table4150[#All]</definedName>
    <definedName name="PT1ScaledScores" localSheetId="16">Table41[#All]</definedName>
    <definedName name="PT1ScaledScores" localSheetId="9">Table415059[#All]</definedName>
    <definedName name="PT1ScaledScores" localSheetId="15">Table41[#All]</definedName>
    <definedName name="PT1ScaledScores">Table41[#All]</definedName>
    <definedName name="PT1WritingAnswers">'PT Answer Tables'!$J$3:$K$47</definedName>
    <definedName name="PT6ScaledScoreTable">Table415059[]</definedName>
    <definedName name="PT6Skill4">Table4135256[]</definedName>
    <definedName name="PTDropdown">Input!$C$3</definedName>
    <definedName name="PTKEY">'Raw Score Check'!$E$4</definedName>
    <definedName name="PTKEYTABLE" localSheetId="11">PracticeTests[#All]</definedName>
    <definedName name="PTKEYTABLE" localSheetId="12">PracticeTests[#All]</definedName>
    <definedName name="PTKEYTABLE" localSheetId="13">PracticeTests[#All]</definedName>
    <definedName name="PTKEYTABLE" localSheetId="10">PracticeTests[#All]</definedName>
    <definedName name="PTKEYTABLE" localSheetId="16">PracticeTests[#All]</definedName>
    <definedName name="PTKEYTABLE" localSheetId="9">PracticeTests[#All]</definedName>
    <definedName name="PTKEYTABLE" localSheetId="15">PracticeTests[#All]</definedName>
    <definedName name="PTKEYTABLE">PracticeTests[#All]</definedName>
    <definedName name="Reading_Closely_Correct_PT1">'Reading Report'!$C$10</definedName>
    <definedName name="ReadingDependentList" localSheetId="11">INDEX(Table1821[], ,MATCH('PT 1 Skill Tables'!XFD1,Table1821[#Headers],0))</definedName>
    <definedName name="ReadingDependentList" localSheetId="12">INDEX(Table1821[], ,MATCH('PT 1 Skill Tables'!XFD1,Table1821[#Headers],0))</definedName>
    <definedName name="ReadingDependentList" localSheetId="13">INDEX(Table1821[], ,MATCH('PT 1 Skill Tables'!XFD1,Table1821[#Headers],0))</definedName>
    <definedName name="ReadingDependentList" localSheetId="10">INDEX(Table1821[], ,MATCH('PT 1 Skill Tables'!XFD1,Table1821[#Headers],0))</definedName>
    <definedName name="ReadingDependentList" localSheetId="16">INDEX(Table1821[], ,MATCH('PT 5 Skill Tables'!XFD1,Table1821[#Headers],0))</definedName>
    <definedName name="ReadingDependentList" localSheetId="9">INDEX(Table1821[], ,MATCH('PT 1 Skill Tables'!XFD1,Table1821[#Headers],0))</definedName>
    <definedName name="ReadingDependentList" localSheetId="15">INDEX(Table1821[], ,MATCH('PT 6 Skill Tables'!XFD1,Table1821[#Headers],0))</definedName>
    <definedName name="ReadingDependentList">INDEX(Table1821[], ,MATCH('PT 1 Skill Tables'!XFD1,Table1821[#Headers],0))</definedName>
    <definedName name="ReadingDependentList2" comment="=INDEX(Table1821, ,MATCH('PT 2 Skill Tables'!C5,Table1821[#Headers],0))" localSheetId="11">INDEX(Table1821[], ,MATCH('PT 2 Skill Tables'!XFD1,Table1821[#Headers],0))</definedName>
    <definedName name="ReadingDependentList2" comment="=INDEX(Table1821, ,MATCH('PT 2 Skill Tables'!C5,Table1821[#Headers],0))" localSheetId="12">INDEX(Table1821[], ,MATCH('PT 2 Skill Tables'!XFD1,Table1821[#Headers],0))</definedName>
    <definedName name="ReadingDependentList2" comment="=INDEX(Table1821, ,MATCH('PT 2 Skill Tables'!C5,Table1821[#Headers],0))" localSheetId="13">INDEX(Table1821[], ,MATCH('PT 2 Skill Tables'!XFD1,Table1821[#Headers],0))</definedName>
    <definedName name="ReadingDependentList2" comment="=INDEX(Table1821, ,MATCH('PT 2 Skill Tables'!C5,Table1821[#Headers],0))" localSheetId="10">INDEX(Table1821[], ,MATCH('PT 2 Skill Tables'!XFD1,Table1821[#Headers],0))</definedName>
    <definedName name="ReadingDependentList2" comment="=INDEX(Table1821, ,MATCH('PT 2 Skill Tables'!C5,Table1821[#Headers],0))" localSheetId="16">INDEX(Table1821[], ,MATCH('PT 2 Skill Tables'!XFD1,Table1821[#Headers],0))</definedName>
    <definedName name="ReadingDependentList2" comment="=INDEX(Table1821, ,MATCH('PT 2 Skill Tables'!C5,Table1821[#Headers],0))" localSheetId="9">INDEX(Table1821[], ,MATCH('PT 2 Skill Tables'!XFD1,Table1821[#Headers],0))</definedName>
    <definedName name="ReadingDependentList2" comment="=INDEX(Table1821, ,MATCH('PT 2 Skill Tables'!C5,Table1821[#Headers],0))" localSheetId="15">INDEX(Table1821[], ,MATCH('PT 2 Skill Tables'!XFD1,Table1821[#Headers],0))</definedName>
    <definedName name="ReadingDependentList2" comment="=INDEX(Table1821, ,MATCH('PT 2 Skill Tables'!C5,Table1821[#Headers],0))">INDEX(Table1821[], ,MATCH('PT 2 Skill Tables'!XFD1,Table1821[#Headers],0))</definedName>
    <definedName name="ReadingDependentList3" comment="=INDEX(Table1821, ,MATCH('PT 3 Skill Tables'!C5,Table1821[#Headers],0))" localSheetId="11">INDEX(Table1821[], ,MATCH('PT 3 Skill Tables'!XFD1,Table1821[#Headers],0))</definedName>
    <definedName name="ReadingDependentList3" comment="=INDEX(Table1821, ,MATCH('PT 3 Skill Tables'!C5,Table1821[#Headers],0))" localSheetId="12">INDEX(Table1821[], ,MATCH('PT 3 Skill Tables'!XFD1,Table1821[#Headers],0))</definedName>
    <definedName name="ReadingDependentList3" comment="=INDEX(Table1821, ,MATCH('PT 3 Skill Tables'!C5,Table1821[#Headers],0))" localSheetId="13">INDEX(Table1821[], ,MATCH('PT 3 Skill Tables'!XFD1,Table1821[#Headers],0))</definedName>
    <definedName name="ReadingDependentList3" comment="=INDEX(Table1821, ,MATCH('PT 3 Skill Tables'!C5,Table1821[#Headers],0))" localSheetId="10">INDEX(Table1821[], ,MATCH('PT 3 Skill Tables'!XFD1,Table1821[#Headers],0))</definedName>
    <definedName name="ReadingDependentList3" comment="=INDEX(Table1821, ,MATCH('PT 3 Skill Tables'!C5,Table1821[#Headers],0))" localSheetId="16">INDEX(Table1821[], ,MATCH('PT 3 Skill Tables'!XFD1,Table1821[#Headers],0))</definedName>
    <definedName name="ReadingDependentList3" comment="=INDEX(Table1821, ,MATCH('PT 3 Skill Tables'!C5,Table1821[#Headers],0))" localSheetId="9">INDEX(Table1821[], ,MATCH('PT 3 Skill Tables'!XFD1,Table1821[#Headers],0))</definedName>
    <definedName name="ReadingDependentList3" comment="=INDEX(Table1821, ,MATCH('PT 3 Skill Tables'!C5,Table1821[#Headers],0))" localSheetId="15">INDEX(Table1821[], ,MATCH('PT 3 Skill Tables'!XFD1,Table1821[#Headers],0))</definedName>
    <definedName name="ReadingDependentList3" comment="=INDEX(Table1821, ,MATCH('PT 3 Skill Tables'!C5,Table1821[#Headers],0))">INDEX(Table1821[], ,MATCH('PT 3 Skill Tables'!XFD1,Table1821[#Headers],0))</definedName>
    <definedName name="ReadingDependentList4" localSheetId="11">INDEX(Table1821[], ,MATCH('PT 4 Skill Tables'!XFD1,Table1821[#Headers],0))</definedName>
    <definedName name="ReadingDependentList4" localSheetId="12">INDEX(Table1821[], ,MATCH('PT 4 Skill Tables'!XFD1,Table1821[#Headers],0))</definedName>
    <definedName name="ReadingDependentList4" localSheetId="13">INDEX(Table1821[], ,MATCH('PT 4 Skill Tables'!XFD1,Table1821[#Headers],0))</definedName>
    <definedName name="ReadingDependentList4" localSheetId="10">INDEX(Table1821[], ,MATCH('PT 4 Skill Tables'!XFD1,Table1821[#Headers],0))</definedName>
    <definedName name="ReadingDependentList4" localSheetId="16">INDEX(Table1821[], ,MATCH('PT 4 Skill Tables'!XFD1,Table1821[#Headers],0))</definedName>
    <definedName name="ReadingDependentList4" localSheetId="9">INDEX(Table1821[], ,MATCH('PT 4 Skill Tables'!XFD1,Table1821[#Headers],0))</definedName>
    <definedName name="ReadingDependentList4" localSheetId="15">INDEX(Table1821[], ,MATCH('PT 4 Skill Tables'!XFD1,Table1821[#Headers],0))</definedName>
    <definedName name="ReadingDependentList4">INDEX(Table1821[], ,MATCH('PT 4 Skill Tables'!XFD1,Table1821[#Headers],0))</definedName>
    <definedName name="ReadingHeader" localSheetId="21">Table1821[#Headers]</definedName>
    <definedName name="ReadingHeader" localSheetId="11">Table1828[#Headers]</definedName>
    <definedName name="ReadingHeader" localSheetId="12">Table1828[#Headers]</definedName>
    <definedName name="ReadingHeader" localSheetId="13">Table1828[#Headers]</definedName>
    <definedName name="ReadingHeader" localSheetId="10">Table1828[#Headers]</definedName>
    <definedName name="ReadingHeader" localSheetId="16">Table1828[#Headers]</definedName>
    <definedName name="ReadingHeader" localSheetId="9">Table1828[#Headers]</definedName>
    <definedName name="ReadingHeader" localSheetId="15">Table1828[#Headers]</definedName>
    <definedName name="ReadingHeader">Table1828[#Headers]</definedName>
    <definedName name="ReadingTable" localSheetId="21">Table1821[]</definedName>
    <definedName name="ReadingTable" localSheetId="11">Table1828[]</definedName>
    <definedName name="ReadingTable" localSheetId="12">Table1828[]</definedName>
    <definedName name="ReadingTable" localSheetId="13">Table1828[]</definedName>
    <definedName name="ReadingTable" localSheetId="10">Table1828[]</definedName>
    <definedName name="ReadingTable" localSheetId="16">Table1828[]</definedName>
    <definedName name="ReadingTable" localSheetId="9">Table1828[]</definedName>
    <definedName name="ReadingTable" localSheetId="15">Table1828[]</definedName>
    <definedName name="ReadingTable">Table1828[]</definedName>
    <definedName name="ReadingTestRawScore">'Raw Score Check'!$H$57</definedName>
    <definedName name="ScienceRawScore">'Raw Score Check'!$AH$57</definedName>
    <definedName name="StudentNameInput">Input!$C$4</definedName>
    <definedName name="WordsinContextScore">'Raw Score Check'!$U$57</definedName>
    <definedName name="WritingDependentList" localSheetId="21">INDEX(Key!WritingTable, ,MATCH('[2]PT 1'!XFD1,Key!WritingHeader,0))</definedName>
    <definedName name="WritingDependentList" localSheetId="11">INDEX('PT 2 Scaled Score Tables'!WritingTable, ,MATCH('PT 1 Skill Tables'!XFD1,'PT 2 Scaled Score Tables'!WritingHeader,0))</definedName>
    <definedName name="WritingDependentList" localSheetId="12">INDEX('PT 3 Scaled Score Tables'!WritingTable, ,MATCH('PT 1 Skill Tables'!XFD1,'PT 3 Scaled Score Tables'!WritingHeader,0))</definedName>
    <definedName name="WritingDependentList" localSheetId="13">INDEX('PT 4 Scaled Score Tables'!WritingTable, ,MATCH('PT 1 Skill Tables'!XFD1,'PT 4 Scaled Score Tables'!WritingHeader,0))</definedName>
    <definedName name="WritingDependentList" localSheetId="10">INDEX('PT 5 Scaled Score Tables'!WritingTable, ,MATCH('PT 1 Skill Tables'!XFD1,'PT 5 Scaled Score Tables'!WritingHeader,0))</definedName>
    <definedName name="WritingDependentList" localSheetId="16">INDEX('PT 5 Skill Tables'!WritingTable, ,MATCH('PT 5 Skill Tables'!XFD1,'PT 5 Skill Tables'!WritingHeader,0))</definedName>
    <definedName name="WritingDependentList" localSheetId="9">INDEX('PT 6 Scaled Score Tables'!WritingTable, ,MATCH('PT 1 Skill Tables'!XFD1,'PT 6 Scaled Score Tables'!WritingHeader,0))</definedName>
    <definedName name="WritingDependentList" localSheetId="15">INDEX('PT 6 Skill Tables'!WritingTable, ,MATCH('PT 6 Skill Tables'!XFD1,'PT 6 Skill Tables'!WritingHeader,0))</definedName>
    <definedName name="WritingDependentList">INDEX(Key!WritingTable, ,MATCH('PT 1 Skill Tables'!XFD1,Key!WritingHeader,0))</definedName>
    <definedName name="WritingDependentList2" localSheetId="11">INDEX('PT 2 Scaled Score Tables'!WritingTable, ,MATCH('PT 2 Skill Tables'!XFD1,'PT 2 Scaled Score Tables'!WritingHeader,0))</definedName>
    <definedName name="WritingDependentList2" localSheetId="12">INDEX('PT 3 Scaled Score Tables'!WritingTable, ,MATCH('PT 2 Skill Tables'!XFD1,'PT 3 Scaled Score Tables'!WritingHeader,0))</definedName>
    <definedName name="WritingDependentList2" localSheetId="13">INDEX('PT 4 Scaled Score Tables'!WritingTable, ,MATCH('PT 2 Skill Tables'!XFD1,'PT 4 Scaled Score Tables'!WritingHeader,0))</definedName>
    <definedName name="WritingDependentList2" localSheetId="10">INDEX('PT 5 Scaled Score Tables'!WritingTable, ,MATCH('PT 2 Skill Tables'!XFD1,'PT 5 Scaled Score Tables'!WritingHeader,0))</definedName>
    <definedName name="WritingDependentList2" localSheetId="16">INDEX('PT 5 Skill Tables'!WritingTable, ,MATCH('PT 2 Skill Tables'!XFD1,'PT 5 Skill Tables'!WritingHeader,0))</definedName>
    <definedName name="WritingDependentList2" localSheetId="9">INDEX('PT 6 Scaled Score Tables'!WritingTable, ,MATCH('PT 2 Skill Tables'!XFD1,'PT 6 Scaled Score Tables'!WritingHeader,0))</definedName>
    <definedName name="WritingDependentList2" localSheetId="15">INDEX('PT 6 Skill Tables'!WritingTable, ,MATCH('PT 2 Skill Tables'!XFD1,'PT 6 Skill Tables'!WritingHeader,0))</definedName>
    <definedName name="WritingDependentList2">INDEX(Key!WritingTable, ,MATCH('PT 2 Skill Tables'!XFD1,Key!WritingHeader,0))</definedName>
    <definedName name="WritingDependentList3" localSheetId="11">INDEX('PT 2 Scaled Score Tables'!WritingTable, ,MATCH('PT 3 Skill Tables'!XFD1,'PT 2 Scaled Score Tables'!WritingHeader,0))</definedName>
    <definedName name="WritingDependentList3" localSheetId="12">INDEX('PT 3 Scaled Score Tables'!WritingTable, ,MATCH('PT 3 Skill Tables'!XFD1,'PT 3 Scaled Score Tables'!WritingHeader,0))</definedName>
    <definedName name="WritingDependentList3" localSheetId="13">INDEX('PT 4 Scaled Score Tables'!WritingTable, ,MATCH('PT 3 Skill Tables'!XFD1,'PT 4 Scaled Score Tables'!WritingHeader,0))</definedName>
    <definedName name="WritingDependentList3" localSheetId="10">INDEX('PT 5 Scaled Score Tables'!WritingTable, ,MATCH('PT 3 Skill Tables'!XFD1,'PT 5 Scaled Score Tables'!WritingHeader,0))</definedName>
    <definedName name="WritingDependentList3" localSheetId="16">INDEX('PT 5 Skill Tables'!WritingTable, ,MATCH('PT 3 Skill Tables'!XFD1,'PT 5 Skill Tables'!WritingHeader,0))</definedName>
    <definedName name="WritingDependentList3" localSheetId="9">INDEX('PT 6 Scaled Score Tables'!WritingTable, ,MATCH('PT 3 Skill Tables'!XFD1,'PT 6 Scaled Score Tables'!WritingHeader,0))</definedName>
    <definedName name="WritingDependentList3" localSheetId="15">INDEX('PT 6 Skill Tables'!WritingTable, ,MATCH('PT 3 Skill Tables'!XFD1,'PT 6 Skill Tables'!WritingHeader,0))</definedName>
    <definedName name="WritingDependentList3">INDEX(Key!WritingTable, ,MATCH('PT 3 Skill Tables'!XFD1,Key!WritingHeader,0))</definedName>
    <definedName name="WritingDependentList4" localSheetId="11">INDEX('PT 2 Scaled Score Tables'!WritingTable, ,MATCH('PT 4 Skill Tables'!XFD1,'PT 2 Scaled Score Tables'!WritingHeader,0))</definedName>
    <definedName name="WritingDependentList4" localSheetId="12">INDEX('PT 3 Scaled Score Tables'!WritingTable, ,MATCH('PT 4 Skill Tables'!XFD1,'PT 3 Scaled Score Tables'!WritingHeader,0))</definedName>
    <definedName name="WritingDependentList4" localSheetId="13">INDEX('PT 4 Scaled Score Tables'!WritingTable, ,MATCH('PT 4 Skill Tables'!XFD1,'PT 4 Scaled Score Tables'!WritingHeader,0))</definedName>
    <definedName name="WritingDependentList4" localSheetId="10">INDEX('PT 5 Scaled Score Tables'!WritingTable, ,MATCH('PT 4 Skill Tables'!XFD1,'PT 5 Scaled Score Tables'!WritingHeader,0))</definedName>
    <definedName name="WritingDependentList4" localSheetId="16">INDEX('PT 5 Skill Tables'!WritingTable, ,MATCH('PT 4 Skill Tables'!XFD1,'PT 5 Skill Tables'!WritingHeader,0))</definedName>
    <definedName name="WritingDependentList4" localSheetId="9">INDEX('PT 6 Scaled Score Tables'!WritingTable, ,MATCH('PT 4 Skill Tables'!XFD1,'PT 6 Scaled Score Tables'!WritingHeader,0))</definedName>
    <definedName name="WritingDependentList4" localSheetId="15">INDEX('PT 6 Skill Tables'!WritingTable, ,MATCH('PT 4 Skill Tables'!XFD1,'PT 6 Skill Tables'!WritingHeader,0))</definedName>
    <definedName name="WritingDependentList4">INDEX(Key!WritingTable, ,MATCH('PT 4 Skill Tables'!XFD1,Key!WritingHeader,0))</definedName>
    <definedName name="WritingHeader" localSheetId="21">Table1922[#Headers]</definedName>
    <definedName name="WritingHeader" localSheetId="11">Table1929[#Headers]</definedName>
    <definedName name="WritingHeader" localSheetId="12">Table1929[#Headers]</definedName>
    <definedName name="WritingHeader" localSheetId="13">Table1929[#Headers]</definedName>
    <definedName name="WritingHeader" localSheetId="10">Table1929[#Headers]</definedName>
    <definedName name="WritingHeader" localSheetId="16">Table1929[#Headers]</definedName>
    <definedName name="WritingHeader" localSheetId="9">Table1929[#Headers]</definedName>
    <definedName name="WritingHeader" localSheetId="15">Table1929[#Headers]</definedName>
    <definedName name="WritingHeader">Table1929[#Headers]</definedName>
    <definedName name="WritingTable" localSheetId="21">Table1922[]</definedName>
    <definedName name="WritingTable" localSheetId="11">Table1929[]</definedName>
    <definedName name="WritingTable" localSheetId="12">Table1929[]</definedName>
    <definedName name="WritingTable" localSheetId="13">Table1929[]</definedName>
    <definedName name="WritingTable" localSheetId="10">Table1929[]</definedName>
    <definedName name="WritingTable" localSheetId="16">Table1929[]</definedName>
    <definedName name="WritingTable" localSheetId="9">Table1929[]</definedName>
    <definedName name="WritingTable" localSheetId="15">Table1929[]</definedName>
    <definedName name="WritingTable">Table1929[]</definedName>
    <definedName name="WritingTestRawScore">'Raw Score Check'!$K$57</definedName>
  </definedNames>
  <calcPr calcId="12451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" i="5"/>
  <c r="U26" i="26" l="1"/>
  <c r="U26" i="25" l="1"/>
  <c r="AF36" i="1"/>
  <c r="X19"/>
  <c r="AE40"/>
  <c r="T19"/>
  <c r="C13" i="5" l="1"/>
  <c r="B125" i="15"/>
  <c r="B126"/>
  <c r="B127"/>
  <c r="B128"/>
  <c r="B129"/>
  <c r="B130"/>
  <c r="B131"/>
  <c r="B132"/>
  <c r="B133"/>
  <c r="B134"/>
  <c r="B135"/>
  <c r="B136"/>
  <c r="B137"/>
  <c r="B138"/>
  <c r="B139"/>
  <c r="B140"/>
  <c r="B141"/>
  <c r="B142"/>
  <c r="B143"/>
  <c r="B144"/>
  <c r="B145"/>
  <c r="B146"/>
  <c r="B147"/>
  <c r="B148"/>
  <c r="B149"/>
  <c r="B150"/>
  <c r="B151"/>
  <c r="B152"/>
  <c r="B153"/>
  <c r="B154"/>
  <c r="B155"/>
  <c r="B156"/>
  <c r="B157"/>
  <c r="B158"/>
  <c r="B159"/>
  <c r="B160"/>
  <c r="B161"/>
  <c r="B162"/>
  <c r="B103"/>
  <c r="B104"/>
  <c r="B105"/>
  <c r="B106"/>
  <c r="B107"/>
  <c r="B108"/>
  <c r="B109"/>
  <c r="B110"/>
  <c r="B111"/>
  <c r="B112"/>
  <c r="B113"/>
  <c r="B114"/>
  <c r="B115"/>
  <c r="B116"/>
  <c r="B117"/>
  <c r="B118"/>
  <c r="B119"/>
  <c r="B120"/>
  <c r="B121"/>
  <c r="B122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89"/>
  <c r="B90"/>
  <c r="B91"/>
  <c r="B92"/>
  <c r="B93"/>
  <c r="B94"/>
  <c r="B95"/>
  <c r="B96"/>
  <c r="B97"/>
  <c r="B98"/>
  <c r="B99"/>
  <c r="B100"/>
  <c r="B3"/>
  <c r="B4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M18" i="5" l="1"/>
  <c r="M17"/>
  <c r="F18"/>
  <c r="F17"/>
  <c r="L14" l="1"/>
  <c r="M14"/>
  <c r="K14"/>
  <c r="U26" i="10" l="1"/>
  <c r="C11" i="5" l="1"/>
  <c r="C7"/>
  <c r="AD39" i="1" l="1"/>
  <c r="AC34"/>
  <c r="U19"/>
  <c r="E4" i="4"/>
  <c r="D5" i="15" l="1"/>
  <c r="D9"/>
  <c r="D13"/>
  <c r="D17"/>
  <c r="D21"/>
  <c r="D25"/>
  <c r="D29"/>
  <c r="D33"/>
  <c r="D37"/>
  <c r="D41"/>
  <c r="D45"/>
  <c r="D49"/>
  <c r="D53"/>
  <c r="Q36" i="4"/>
  <c r="AD37" i="26" s="1"/>
  <c r="D6" i="15"/>
  <c r="D10"/>
  <c r="D14"/>
  <c r="D18"/>
  <c r="D22"/>
  <c r="D26"/>
  <c r="D30"/>
  <c r="D34"/>
  <c r="D38"/>
  <c r="D42"/>
  <c r="D46"/>
  <c r="D50"/>
  <c r="D54"/>
  <c r="D4"/>
  <c r="D7"/>
  <c r="D11"/>
  <c r="D15"/>
  <c r="D19"/>
  <c r="D23"/>
  <c r="D27"/>
  <c r="D31"/>
  <c r="D35"/>
  <c r="D39"/>
  <c r="D43"/>
  <c r="D47"/>
  <c r="D51"/>
  <c r="D3"/>
  <c r="D8"/>
  <c r="D12"/>
  <c r="D16"/>
  <c r="D20"/>
  <c r="D24"/>
  <c r="D28"/>
  <c r="D32"/>
  <c r="D36"/>
  <c r="D40"/>
  <c r="D44"/>
  <c r="D48"/>
  <c r="D52"/>
  <c r="N19" i="4"/>
  <c r="N32" i="5"/>
  <c r="F32"/>
  <c r="F29"/>
  <c r="N31"/>
  <c r="F31"/>
  <c r="N30"/>
  <c r="F30"/>
  <c r="N29"/>
  <c r="AK42" i="4"/>
  <c r="AK46"/>
  <c r="AK50"/>
  <c r="AK54"/>
  <c r="AJ26"/>
  <c r="AJ30"/>
  <c r="AJ34"/>
  <c r="AJ38"/>
  <c r="AJ42"/>
  <c r="AJ46"/>
  <c r="AJ50"/>
  <c r="AJ54"/>
  <c r="AI50"/>
  <c r="AI54"/>
  <c r="AE42"/>
  <c r="AE46"/>
  <c r="AE50"/>
  <c r="AE54"/>
  <c r="AD26"/>
  <c r="AD30"/>
  <c r="AD34"/>
  <c r="AD38"/>
  <c r="AD42"/>
  <c r="AD46"/>
  <c r="AD50"/>
  <c r="AD54"/>
  <c r="AK47"/>
  <c r="AK52"/>
  <c r="AJ27"/>
  <c r="AJ32"/>
  <c r="AJ37"/>
  <c r="AJ43"/>
  <c r="AJ48"/>
  <c r="AJ53"/>
  <c r="AI49"/>
  <c r="AI55"/>
  <c r="AE47"/>
  <c r="AE52"/>
  <c r="AD27"/>
  <c r="AD32"/>
  <c r="AD37"/>
  <c r="AD43"/>
  <c r="AD48"/>
  <c r="AD53"/>
  <c r="AC49"/>
  <c r="AC53"/>
  <c r="AK43"/>
  <c r="AK48"/>
  <c r="AK53"/>
  <c r="AJ28"/>
  <c r="AJ33"/>
  <c r="AJ39"/>
  <c r="AJ44"/>
  <c r="AJ49"/>
  <c r="AJ55"/>
  <c r="AI51"/>
  <c r="AE43"/>
  <c r="AE48"/>
  <c r="AE53"/>
  <c r="AD28"/>
  <c r="AD33"/>
  <c r="AD39"/>
  <c r="AD44"/>
  <c r="AD49"/>
  <c r="AD55"/>
  <c r="AC50"/>
  <c r="AC54"/>
  <c r="AK49"/>
  <c r="AJ29"/>
  <c r="AJ40"/>
  <c r="AJ51"/>
  <c r="AI52"/>
  <c r="AE44"/>
  <c r="AE55"/>
  <c r="AD24"/>
  <c r="AD35"/>
  <c r="AD45"/>
  <c r="AC51"/>
  <c r="Y51"/>
  <c r="Y55"/>
  <c r="U51"/>
  <c r="U55"/>
  <c r="F128" i="15"/>
  <c r="F132"/>
  <c r="F136"/>
  <c r="F140"/>
  <c r="F144"/>
  <c r="F148"/>
  <c r="F152"/>
  <c r="F156"/>
  <c r="F160"/>
  <c r="E126"/>
  <c r="E130"/>
  <c r="E134"/>
  <c r="E138"/>
  <c r="E142"/>
  <c r="E146"/>
  <c r="E150"/>
  <c r="E154"/>
  <c r="E158"/>
  <c r="E162"/>
  <c r="D128"/>
  <c r="D132"/>
  <c r="D136"/>
  <c r="D140"/>
  <c r="D144"/>
  <c r="D148"/>
  <c r="D152"/>
  <c r="D156"/>
  <c r="D160"/>
  <c r="C126"/>
  <c r="C130"/>
  <c r="C134"/>
  <c r="C138"/>
  <c r="C142"/>
  <c r="C146"/>
  <c r="C150"/>
  <c r="C154"/>
  <c r="C158"/>
  <c r="C162"/>
  <c r="F106"/>
  <c r="F110"/>
  <c r="F114"/>
  <c r="F118"/>
  <c r="F122"/>
  <c r="E106"/>
  <c r="E110"/>
  <c r="E114"/>
  <c r="E118"/>
  <c r="E122"/>
  <c r="D106"/>
  <c r="D110"/>
  <c r="D114"/>
  <c r="D118"/>
  <c r="D122"/>
  <c r="C106"/>
  <c r="C110"/>
  <c r="C114"/>
  <c r="C118"/>
  <c r="C122"/>
  <c r="G60"/>
  <c r="G64"/>
  <c r="G68"/>
  <c r="G72"/>
  <c r="G76"/>
  <c r="G80"/>
  <c r="G84"/>
  <c r="G88"/>
  <c r="G92"/>
  <c r="G96"/>
  <c r="G100"/>
  <c r="F60"/>
  <c r="F64"/>
  <c r="F68"/>
  <c r="F72"/>
  <c r="F76"/>
  <c r="F80"/>
  <c r="F84"/>
  <c r="F88"/>
  <c r="AK51" i="4"/>
  <c r="AJ31"/>
  <c r="AJ41"/>
  <c r="AJ52"/>
  <c r="AI53"/>
  <c r="AE45"/>
  <c r="AD25"/>
  <c r="AD36"/>
  <c r="AD47"/>
  <c r="AC52"/>
  <c r="Y48"/>
  <c r="Y52"/>
  <c r="U48"/>
  <c r="U52"/>
  <c r="F125" i="15"/>
  <c r="F129"/>
  <c r="F133"/>
  <c r="F137"/>
  <c r="F141"/>
  <c r="F145"/>
  <c r="F149"/>
  <c r="F153"/>
  <c r="F157"/>
  <c r="F161"/>
  <c r="E127"/>
  <c r="E131"/>
  <c r="E135"/>
  <c r="E139"/>
  <c r="E143"/>
  <c r="E147"/>
  <c r="E151"/>
  <c r="E155"/>
  <c r="E159"/>
  <c r="D125"/>
  <c r="D129"/>
  <c r="D133"/>
  <c r="D137"/>
  <c r="D141"/>
  <c r="D145"/>
  <c r="D149"/>
  <c r="D153"/>
  <c r="D157"/>
  <c r="D161"/>
  <c r="C127"/>
  <c r="C131"/>
  <c r="C135"/>
  <c r="C139"/>
  <c r="C143"/>
  <c r="C147"/>
  <c r="C151"/>
  <c r="C155"/>
  <c r="C159"/>
  <c r="F103"/>
  <c r="F107"/>
  <c r="F111"/>
  <c r="F115"/>
  <c r="F119"/>
  <c r="E103"/>
  <c r="E107"/>
  <c r="E111"/>
  <c r="E115"/>
  <c r="E119"/>
  <c r="D103"/>
  <c r="D107"/>
  <c r="D111"/>
  <c r="D115"/>
  <c r="D119"/>
  <c r="C103"/>
  <c r="C107"/>
  <c r="C111"/>
  <c r="C115"/>
  <c r="C119"/>
  <c r="G57"/>
  <c r="G61"/>
  <c r="G65"/>
  <c r="G69"/>
  <c r="G73"/>
  <c r="G77"/>
  <c r="G81"/>
  <c r="G85"/>
  <c r="G89"/>
  <c r="AK55" i="4"/>
  <c r="AJ24"/>
  <c r="AJ45"/>
  <c r="AD29"/>
  <c r="AD51"/>
  <c r="AC55"/>
  <c r="Y53"/>
  <c r="U53"/>
  <c r="F126" i="15"/>
  <c r="F134"/>
  <c r="F142"/>
  <c r="F150"/>
  <c r="F158"/>
  <c r="E128"/>
  <c r="E136"/>
  <c r="E144"/>
  <c r="E152"/>
  <c r="E160"/>
  <c r="D130"/>
  <c r="D138"/>
  <c r="D146"/>
  <c r="D154"/>
  <c r="D162"/>
  <c r="C132"/>
  <c r="C140"/>
  <c r="C148"/>
  <c r="C156"/>
  <c r="F104"/>
  <c r="F112"/>
  <c r="F120"/>
  <c r="E108"/>
  <c r="E116"/>
  <c r="D104"/>
  <c r="D112"/>
  <c r="D120"/>
  <c r="C108"/>
  <c r="C116"/>
  <c r="G58"/>
  <c r="G66"/>
  <c r="G74"/>
  <c r="G82"/>
  <c r="G90"/>
  <c r="G95"/>
  <c r="F57"/>
  <c r="F62"/>
  <c r="F67"/>
  <c r="F73"/>
  <c r="F78"/>
  <c r="F83"/>
  <c r="F89"/>
  <c r="F93"/>
  <c r="F97"/>
  <c r="E57"/>
  <c r="E61"/>
  <c r="E65"/>
  <c r="E69"/>
  <c r="E73"/>
  <c r="E77"/>
  <c r="E81"/>
  <c r="E85"/>
  <c r="E89"/>
  <c r="E93"/>
  <c r="E97"/>
  <c r="D57"/>
  <c r="D61"/>
  <c r="D65"/>
  <c r="D69"/>
  <c r="D73"/>
  <c r="D77"/>
  <c r="D81"/>
  <c r="D85"/>
  <c r="D89"/>
  <c r="D93"/>
  <c r="D97"/>
  <c r="C57"/>
  <c r="C61"/>
  <c r="C65"/>
  <c r="C69"/>
  <c r="C73"/>
  <c r="C77"/>
  <c r="C81"/>
  <c r="C85"/>
  <c r="C89"/>
  <c r="C93"/>
  <c r="C97"/>
  <c r="F3"/>
  <c r="F7"/>
  <c r="F11"/>
  <c r="F15"/>
  <c r="F19"/>
  <c r="F23"/>
  <c r="F27"/>
  <c r="F31"/>
  <c r="F35"/>
  <c r="F39"/>
  <c r="F43"/>
  <c r="F47"/>
  <c r="F51"/>
  <c r="G3"/>
  <c r="G7"/>
  <c r="G11"/>
  <c r="G15"/>
  <c r="G19"/>
  <c r="G23"/>
  <c r="G27"/>
  <c r="G31"/>
  <c r="G35"/>
  <c r="G39"/>
  <c r="G43"/>
  <c r="G47"/>
  <c r="G51"/>
  <c r="E3"/>
  <c r="E7"/>
  <c r="E11"/>
  <c r="E15"/>
  <c r="E19"/>
  <c r="E23"/>
  <c r="E27"/>
  <c r="E31"/>
  <c r="E35"/>
  <c r="E39"/>
  <c r="E43"/>
  <c r="E47"/>
  <c r="E51"/>
  <c r="C74"/>
  <c r="C90"/>
  <c r="C98"/>
  <c r="F8"/>
  <c r="F16"/>
  <c r="F24"/>
  <c r="F32"/>
  <c r="F40"/>
  <c r="F48"/>
  <c r="G4"/>
  <c r="G8"/>
  <c r="G16"/>
  <c r="G24"/>
  <c r="G32"/>
  <c r="G40"/>
  <c r="G48"/>
  <c r="E4"/>
  <c r="E8"/>
  <c r="E16"/>
  <c r="E24"/>
  <c r="E32"/>
  <c r="E40"/>
  <c r="E48"/>
  <c r="G37"/>
  <c r="G49"/>
  <c r="E9"/>
  <c r="E21"/>
  <c r="E33"/>
  <c r="E45"/>
  <c r="AD41" i="4"/>
  <c r="U50"/>
  <c r="F139" i="15"/>
  <c r="E133"/>
  <c r="AJ25" i="4"/>
  <c r="AJ47"/>
  <c r="AD31"/>
  <c r="AD52"/>
  <c r="Y54"/>
  <c r="U54"/>
  <c r="F127" i="15"/>
  <c r="F135"/>
  <c r="F143"/>
  <c r="F151"/>
  <c r="F159"/>
  <c r="E129"/>
  <c r="E137"/>
  <c r="E145"/>
  <c r="E153"/>
  <c r="E161"/>
  <c r="D131"/>
  <c r="D139"/>
  <c r="D147"/>
  <c r="D155"/>
  <c r="C125"/>
  <c r="C133"/>
  <c r="C141"/>
  <c r="C149"/>
  <c r="C157"/>
  <c r="F105"/>
  <c r="F113"/>
  <c r="F121"/>
  <c r="E109"/>
  <c r="E117"/>
  <c r="D105"/>
  <c r="D113"/>
  <c r="D121"/>
  <c r="C109"/>
  <c r="C117"/>
  <c r="G59"/>
  <c r="G67"/>
  <c r="G75"/>
  <c r="G83"/>
  <c r="G91"/>
  <c r="G97"/>
  <c r="F58"/>
  <c r="F63"/>
  <c r="F69"/>
  <c r="F74"/>
  <c r="F79"/>
  <c r="F85"/>
  <c r="F90"/>
  <c r="F94"/>
  <c r="F98"/>
  <c r="E58"/>
  <c r="E62"/>
  <c r="E66"/>
  <c r="E70"/>
  <c r="E74"/>
  <c r="E78"/>
  <c r="E82"/>
  <c r="E86"/>
  <c r="E90"/>
  <c r="E94"/>
  <c r="E98"/>
  <c r="D58"/>
  <c r="D62"/>
  <c r="D66"/>
  <c r="D70"/>
  <c r="D74"/>
  <c r="D78"/>
  <c r="D82"/>
  <c r="D86"/>
  <c r="D90"/>
  <c r="D94"/>
  <c r="D98"/>
  <c r="C58"/>
  <c r="C62"/>
  <c r="C66"/>
  <c r="C70"/>
  <c r="C78"/>
  <c r="C82"/>
  <c r="C86"/>
  <c r="C94"/>
  <c r="F4"/>
  <c r="F12"/>
  <c r="F20"/>
  <c r="F28"/>
  <c r="F36"/>
  <c r="F44"/>
  <c r="F52"/>
  <c r="G12"/>
  <c r="G20"/>
  <c r="G28"/>
  <c r="G36"/>
  <c r="G44"/>
  <c r="G52"/>
  <c r="E12"/>
  <c r="E20"/>
  <c r="E28"/>
  <c r="E36"/>
  <c r="E44"/>
  <c r="E52"/>
  <c r="G41"/>
  <c r="G53"/>
  <c r="E13"/>
  <c r="E25"/>
  <c r="E37"/>
  <c r="E49"/>
  <c r="AK45" i="4"/>
  <c r="AI48"/>
  <c r="AE51"/>
  <c r="AC48"/>
  <c r="F131" i="15"/>
  <c r="F155"/>
  <c r="E141"/>
  <c r="AK44" i="4"/>
  <c r="AJ35"/>
  <c r="AE49"/>
  <c r="AD40"/>
  <c r="Y49"/>
  <c r="U49"/>
  <c r="F130" i="15"/>
  <c r="F138"/>
  <c r="F146"/>
  <c r="F154"/>
  <c r="F162"/>
  <c r="E132"/>
  <c r="E140"/>
  <c r="E148"/>
  <c r="E156"/>
  <c r="D126"/>
  <c r="D134"/>
  <c r="D142"/>
  <c r="D150"/>
  <c r="D158"/>
  <c r="C128"/>
  <c r="C136"/>
  <c r="C144"/>
  <c r="C152"/>
  <c r="C160"/>
  <c r="F108"/>
  <c r="F116"/>
  <c r="E104"/>
  <c r="E112"/>
  <c r="E120"/>
  <c r="D108"/>
  <c r="D116"/>
  <c r="C104"/>
  <c r="C112"/>
  <c r="C120"/>
  <c r="G62"/>
  <c r="G70"/>
  <c r="G78"/>
  <c r="G86"/>
  <c r="G93"/>
  <c r="G98"/>
  <c r="F59"/>
  <c r="F65"/>
  <c r="F70"/>
  <c r="F75"/>
  <c r="F81"/>
  <c r="F86"/>
  <c r="F91"/>
  <c r="F95"/>
  <c r="F99"/>
  <c r="E59"/>
  <c r="E63"/>
  <c r="E67"/>
  <c r="E71"/>
  <c r="E75"/>
  <c r="E79"/>
  <c r="E83"/>
  <c r="E87"/>
  <c r="E91"/>
  <c r="E95"/>
  <c r="E99"/>
  <c r="D59"/>
  <c r="D63"/>
  <c r="D67"/>
  <c r="D71"/>
  <c r="D75"/>
  <c r="D79"/>
  <c r="D83"/>
  <c r="D87"/>
  <c r="D91"/>
  <c r="D95"/>
  <c r="D99"/>
  <c r="C59"/>
  <c r="C63"/>
  <c r="C67"/>
  <c r="C71"/>
  <c r="C75"/>
  <c r="C79"/>
  <c r="C83"/>
  <c r="C87"/>
  <c r="C91"/>
  <c r="C95"/>
  <c r="C99"/>
  <c r="F5"/>
  <c r="F9"/>
  <c r="F13"/>
  <c r="F17"/>
  <c r="F21"/>
  <c r="F25"/>
  <c r="F29"/>
  <c r="F33"/>
  <c r="F37"/>
  <c r="F41"/>
  <c r="F45"/>
  <c r="F49"/>
  <c r="F53"/>
  <c r="G5"/>
  <c r="G9"/>
  <c r="G13"/>
  <c r="G17"/>
  <c r="G21"/>
  <c r="G25"/>
  <c r="G29"/>
  <c r="G33"/>
  <c r="G45"/>
  <c r="E5"/>
  <c r="E17"/>
  <c r="E29"/>
  <c r="E41"/>
  <c r="E53"/>
  <c r="AJ36" i="4"/>
  <c r="Y50"/>
  <c r="F147" i="15"/>
  <c r="E125"/>
  <c r="E149"/>
  <c r="D143"/>
  <c r="C137"/>
  <c r="F109"/>
  <c r="E121"/>
  <c r="C113"/>
  <c r="G79"/>
  <c r="F61"/>
  <c r="F82"/>
  <c r="F100"/>
  <c r="E72"/>
  <c r="E88"/>
  <c r="D60"/>
  <c r="D76"/>
  <c r="D92"/>
  <c r="C64"/>
  <c r="C80"/>
  <c r="C96"/>
  <c r="F14"/>
  <c r="F30"/>
  <c r="F46"/>
  <c r="G10"/>
  <c r="G26"/>
  <c r="G42"/>
  <c r="E6"/>
  <c r="E22"/>
  <c r="E38"/>
  <c r="E54"/>
  <c r="E157"/>
  <c r="D151"/>
  <c r="C145"/>
  <c r="F117"/>
  <c r="D109"/>
  <c r="C121"/>
  <c r="G87"/>
  <c r="F87"/>
  <c r="E60"/>
  <c r="E76"/>
  <c r="E92"/>
  <c r="D80"/>
  <c r="D96"/>
  <c r="C84"/>
  <c r="F18"/>
  <c r="F50"/>
  <c r="G14"/>
  <c r="G46"/>
  <c r="E26"/>
  <c r="D127"/>
  <c r="C153"/>
  <c r="E105"/>
  <c r="D117"/>
  <c r="G63"/>
  <c r="G94"/>
  <c r="F71"/>
  <c r="F92"/>
  <c r="E64"/>
  <c r="E80"/>
  <c r="E96"/>
  <c r="D68"/>
  <c r="D84"/>
  <c r="D100"/>
  <c r="C72"/>
  <c r="C88"/>
  <c r="F6"/>
  <c r="F22"/>
  <c r="F38"/>
  <c r="F54"/>
  <c r="G18"/>
  <c r="G34"/>
  <c r="G50"/>
  <c r="E14"/>
  <c r="E30"/>
  <c r="E46"/>
  <c r="D135"/>
  <c r="C129"/>
  <c r="C161"/>
  <c r="E113"/>
  <c r="C105"/>
  <c r="G71"/>
  <c r="G99"/>
  <c r="F77"/>
  <c r="F96"/>
  <c r="E68"/>
  <c r="E84"/>
  <c r="E100"/>
  <c r="D72"/>
  <c r="D88"/>
  <c r="C60"/>
  <c r="C76"/>
  <c r="C92"/>
  <c r="F10"/>
  <c r="F26"/>
  <c r="F42"/>
  <c r="G6"/>
  <c r="G22"/>
  <c r="G38"/>
  <c r="G54"/>
  <c r="E18"/>
  <c r="E34"/>
  <c r="E50"/>
  <c r="F66"/>
  <c r="D64"/>
  <c r="C68"/>
  <c r="C100"/>
  <c r="F34"/>
  <c r="G30"/>
  <c r="E10"/>
  <c r="E42"/>
  <c r="D159"/>
  <c r="C3"/>
  <c r="C7"/>
  <c r="C11"/>
  <c r="C15"/>
  <c r="C19"/>
  <c r="C23"/>
  <c r="C27"/>
  <c r="C31"/>
  <c r="C35"/>
  <c r="C39"/>
  <c r="C43"/>
  <c r="C47"/>
  <c r="C51"/>
  <c r="C6"/>
  <c r="C18"/>
  <c r="C30"/>
  <c r="C46"/>
  <c r="C54"/>
  <c r="C4"/>
  <c r="C8"/>
  <c r="C12"/>
  <c r="C16"/>
  <c r="C20"/>
  <c r="C24"/>
  <c r="C28"/>
  <c r="C32"/>
  <c r="C36"/>
  <c r="C40"/>
  <c r="C44"/>
  <c r="C48"/>
  <c r="C52"/>
  <c r="C10"/>
  <c r="C26"/>
  <c r="C38"/>
  <c r="C50"/>
  <c r="C5"/>
  <c r="C9"/>
  <c r="C13"/>
  <c r="C17"/>
  <c r="C21"/>
  <c r="C25"/>
  <c r="C29"/>
  <c r="C33"/>
  <c r="C37"/>
  <c r="C41"/>
  <c r="C45"/>
  <c r="C49"/>
  <c r="C53"/>
  <c r="C14"/>
  <c r="C22"/>
  <c r="C34"/>
  <c r="C42"/>
  <c r="Q40" i="4"/>
  <c r="AD41" i="26" s="1"/>
  <c r="N20" i="4"/>
  <c r="W21" i="26" s="1"/>
  <c r="Q34" i="4"/>
  <c r="H5"/>
  <c r="E6" i="26" s="1"/>
  <c r="Q35" i="4"/>
  <c r="AD36" i="26" s="1"/>
  <c r="Q39" i="4"/>
  <c r="AD40" i="26" s="1"/>
  <c r="N23" i="4"/>
  <c r="W24" i="26" s="1"/>
  <c r="N22" i="4"/>
  <c r="W23" i="26" s="1"/>
  <c r="K4" i="4"/>
  <c r="N5" i="26" s="1"/>
  <c r="K36" i="4"/>
  <c r="N37" i="26" s="1"/>
  <c r="K24" i="4"/>
  <c r="N25" i="26" s="1"/>
  <c r="H4" i="4"/>
  <c r="E5" i="26" s="1"/>
  <c r="H44" i="4"/>
  <c r="E45" i="26" s="1"/>
  <c r="H32" i="4"/>
  <c r="E33" i="26" s="1"/>
  <c r="H20" i="4"/>
  <c r="E21" i="26" s="1"/>
  <c r="H8" i="4"/>
  <c r="E9" i="26" s="1"/>
  <c r="Q24" i="4"/>
  <c r="AD25" i="26" s="1"/>
  <c r="Q8" i="4"/>
  <c r="AD9" i="26" s="1"/>
  <c r="K47" i="4"/>
  <c r="N48" i="26" s="1"/>
  <c r="K43" i="4"/>
  <c r="N44" i="26" s="1"/>
  <c r="K39" i="4"/>
  <c r="N40" i="26" s="1"/>
  <c r="K35" i="4"/>
  <c r="N36" i="26" s="1"/>
  <c r="K31" i="4"/>
  <c r="N32" i="26" s="1"/>
  <c r="K27" i="4"/>
  <c r="N28" i="26" s="1"/>
  <c r="K23" i="4"/>
  <c r="N24" i="26" s="1"/>
  <c r="K19" i="4"/>
  <c r="N20" i="26" s="1"/>
  <c r="K15" i="4"/>
  <c r="N16" i="26" s="1"/>
  <c r="K11" i="4"/>
  <c r="N12" i="26" s="1"/>
  <c r="K7" i="4"/>
  <c r="N8" i="26" s="1"/>
  <c r="H55" i="4"/>
  <c r="E56" i="26" s="1"/>
  <c r="H51" i="4"/>
  <c r="E52" i="26" s="1"/>
  <c r="H47" i="4"/>
  <c r="E48" i="26" s="1"/>
  <c r="H43" i="4"/>
  <c r="E44" i="26" s="1"/>
  <c r="H39" i="4"/>
  <c r="E40" i="26" s="1"/>
  <c r="H35" i="4"/>
  <c r="E36" i="26" s="1"/>
  <c r="H31" i="4"/>
  <c r="E32" i="26" s="1"/>
  <c r="H27" i="4"/>
  <c r="E28" i="26" s="1"/>
  <c r="H23" i="4"/>
  <c r="E24" i="26" s="1"/>
  <c r="H19" i="4"/>
  <c r="E20" i="26" s="1"/>
  <c r="H15" i="4"/>
  <c r="E16" i="26" s="1"/>
  <c r="H11" i="4"/>
  <c r="E12" i="26" s="1"/>
  <c r="H7" i="4"/>
  <c r="E8" i="26" s="1"/>
  <c r="Q28" i="4"/>
  <c r="AD29" i="26" s="1"/>
  <c r="K44" i="4"/>
  <c r="N45" i="26" s="1"/>
  <c r="K32" i="4"/>
  <c r="N33" i="26" s="1"/>
  <c r="K20" i="4"/>
  <c r="N21" i="26" s="1"/>
  <c r="K12" i="4"/>
  <c r="N13" i="26" s="1"/>
  <c r="H52" i="4"/>
  <c r="E53" i="26" s="1"/>
  <c r="H40" i="4"/>
  <c r="E41" i="26" s="1"/>
  <c r="H28" i="4"/>
  <c r="E29" i="26" s="1"/>
  <c r="H16" i="4"/>
  <c r="E17" i="26" s="1"/>
  <c r="Q20" i="4"/>
  <c r="AD21" i="26" s="1"/>
  <c r="N4" i="4"/>
  <c r="W5" i="26" s="1"/>
  <c r="K46" i="4"/>
  <c r="N47" i="26" s="1"/>
  <c r="K42" i="4"/>
  <c r="N43" i="26" s="1"/>
  <c r="K38" i="4"/>
  <c r="N39" i="26" s="1"/>
  <c r="K34" i="4"/>
  <c r="N35" i="26" s="1"/>
  <c r="K30" i="4"/>
  <c r="N31" i="26" s="1"/>
  <c r="K26" i="4"/>
  <c r="N27" i="26" s="1"/>
  <c r="K22" i="4"/>
  <c r="N23" i="26" s="1"/>
  <c r="K18" i="4"/>
  <c r="N19" i="26" s="1"/>
  <c r="K14" i="4"/>
  <c r="N15" i="26" s="1"/>
  <c r="K10" i="4"/>
  <c r="N11" i="26" s="1"/>
  <c r="K6" i="4"/>
  <c r="N7" i="26" s="1"/>
  <c r="H54" i="4"/>
  <c r="E55" i="26" s="1"/>
  <c r="H50" i="4"/>
  <c r="E51" i="26" s="1"/>
  <c r="H46" i="4"/>
  <c r="E47" i="26" s="1"/>
  <c r="H42" i="4"/>
  <c r="E43" i="26" s="1"/>
  <c r="H38" i="4"/>
  <c r="E39" i="26" s="1"/>
  <c r="H34" i="4"/>
  <c r="E35" i="26" s="1"/>
  <c r="H30" i="4"/>
  <c r="E31" i="26" s="1"/>
  <c r="H26" i="4"/>
  <c r="E27" i="26" s="1"/>
  <c r="H22" i="4"/>
  <c r="E23" i="26" s="1"/>
  <c r="H18" i="4"/>
  <c r="E19" i="26" s="1"/>
  <c r="H14" i="4"/>
  <c r="E15" i="26" s="1"/>
  <c r="H10" i="4"/>
  <c r="E11" i="26" s="1"/>
  <c r="H6" i="4"/>
  <c r="E7" i="26" s="1"/>
  <c r="Q12" i="4"/>
  <c r="AD13" i="26" s="1"/>
  <c r="K40" i="4"/>
  <c r="N41" i="26" s="1"/>
  <c r="K28" i="4"/>
  <c r="N29" i="26" s="1"/>
  <c r="K16" i="4"/>
  <c r="N17" i="26" s="1"/>
  <c r="K8" i="4"/>
  <c r="N9" i="26" s="1"/>
  <c r="H48" i="4"/>
  <c r="E49" i="26" s="1"/>
  <c r="H36" i="4"/>
  <c r="E37" i="26" s="1"/>
  <c r="H24" i="4"/>
  <c r="E25" i="26" s="1"/>
  <c r="H12" i="4"/>
  <c r="E13" i="26" s="1"/>
  <c r="Q32" i="4"/>
  <c r="AD33" i="26" s="1"/>
  <c r="Q16" i="4"/>
  <c r="AD17" i="26" s="1"/>
  <c r="K45" i="4"/>
  <c r="N46" i="26" s="1"/>
  <c r="K41" i="4"/>
  <c r="N42" i="26" s="1"/>
  <c r="K37" i="4"/>
  <c r="N38" i="26" s="1"/>
  <c r="K33" i="4"/>
  <c r="N34" i="26" s="1"/>
  <c r="K29" i="4"/>
  <c r="N30" i="26" s="1"/>
  <c r="K25" i="4"/>
  <c r="N26" i="26" s="1"/>
  <c r="K21" i="4"/>
  <c r="N22" i="26" s="1"/>
  <c r="K17" i="4"/>
  <c r="N18" i="26" s="1"/>
  <c r="K13" i="4"/>
  <c r="N14" i="26" s="1"/>
  <c r="K9" i="4"/>
  <c r="N10" i="26" s="1"/>
  <c r="K5" i="4"/>
  <c r="N6" i="26" s="1"/>
  <c r="H53" i="4"/>
  <c r="E54" i="26" s="1"/>
  <c r="H49" i="4"/>
  <c r="E50" i="26" s="1"/>
  <c r="H45" i="4"/>
  <c r="E46" i="26" s="1"/>
  <c r="H41" i="4"/>
  <c r="E42" i="26" s="1"/>
  <c r="H37" i="4"/>
  <c r="E38" i="26" s="1"/>
  <c r="H33" i="4"/>
  <c r="E34" i="26" s="1"/>
  <c r="H29" i="4"/>
  <c r="E30" i="26" s="1"/>
  <c r="H25" i="4"/>
  <c r="E26" i="26" s="1"/>
  <c r="H21" i="4"/>
  <c r="E22" i="26" s="1"/>
  <c r="H17" i="4"/>
  <c r="E18" i="26" s="1"/>
  <c r="H13" i="4"/>
  <c r="E14" i="26" s="1"/>
  <c r="H9" i="4"/>
  <c r="E10" i="26" s="1"/>
  <c r="Q27" i="4"/>
  <c r="AD28" i="26" s="1"/>
  <c r="Q19" i="4"/>
  <c r="AD20" i="26" s="1"/>
  <c r="Q11" i="4"/>
  <c r="AD12" i="26" s="1"/>
  <c r="N15" i="4"/>
  <c r="W16" i="26" s="1"/>
  <c r="N7" i="4"/>
  <c r="W8" i="26" s="1"/>
  <c r="Q4" i="4"/>
  <c r="AD5" i="26" s="1"/>
  <c r="Q38" i="4"/>
  <c r="AD39" i="26" s="1"/>
  <c r="Q30" i="4"/>
  <c r="AD31" i="26" s="1"/>
  <c r="Q26" i="4"/>
  <c r="AD27" i="26" s="1"/>
  <c r="Q22" i="4"/>
  <c r="AD23" i="26" s="1"/>
  <c r="Q18" i="4"/>
  <c r="AD19" i="26" s="1"/>
  <c r="Q14" i="4"/>
  <c r="AD15" i="26" s="1"/>
  <c r="Q10" i="4"/>
  <c r="AD11" i="26" s="1"/>
  <c r="Q6" i="4"/>
  <c r="N18"/>
  <c r="W19" i="26" s="1"/>
  <c r="N14" i="4"/>
  <c r="W15" i="26" s="1"/>
  <c r="N10" i="4"/>
  <c r="W11" i="26" s="1"/>
  <c r="N6" i="4"/>
  <c r="W7" i="26" s="1"/>
  <c r="N16" i="4"/>
  <c r="W17" i="26" s="1"/>
  <c r="N12" i="4"/>
  <c r="W13" i="26" s="1"/>
  <c r="N8" i="4"/>
  <c r="W9" i="26" s="1"/>
  <c r="Q31" i="4"/>
  <c r="AD32" i="26" s="1"/>
  <c r="Q23" i="4"/>
  <c r="AD24" i="26" s="1"/>
  <c r="Q15" i="4"/>
  <c r="AD16" i="26" s="1"/>
  <c r="Q7" i="4"/>
  <c r="AD8" i="26" s="1"/>
  <c r="N11" i="4"/>
  <c r="W12" i="26" s="1"/>
  <c r="Q41" i="4"/>
  <c r="AD42" i="26" s="1"/>
  <c r="Q37" i="4"/>
  <c r="AD38" i="26" s="1"/>
  <c r="Q33" i="4"/>
  <c r="AD34" i="26" s="1"/>
  <c r="Q29" i="4"/>
  <c r="AD30" i="26" s="1"/>
  <c r="Q25" i="4"/>
  <c r="AD26" i="26" s="1"/>
  <c r="Q21" i="4"/>
  <c r="AD22" i="26" s="1"/>
  <c r="Q17" i="4"/>
  <c r="AD18" i="26" s="1"/>
  <c r="Q13" i="4"/>
  <c r="AD14" i="26" s="1"/>
  <c r="Q9" i="4"/>
  <c r="AD10" i="26" s="1"/>
  <c r="Q5" i="4"/>
  <c r="N21"/>
  <c r="W22" i="26" s="1"/>
  <c r="N17" i="4"/>
  <c r="W18" i="26" s="1"/>
  <c r="N13" i="4"/>
  <c r="W14" i="26" s="1"/>
  <c r="N9" i="4"/>
  <c r="W10" i="26" s="1"/>
  <c r="N5" i="4"/>
  <c r="W6" i="26" s="1"/>
  <c r="AD6" i="25" l="1"/>
  <c r="AD6" i="26"/>
  <c r="AD35" i="25"/>
  <c r="AD35" i="26"/>
  <c r="AD7" i="25"/>
  <c r="AD7" i="26"/>
  <c r="W20" i="25"/>
  <c r="W20" i="26"/>
  <c r="W20" i="19"/>
  <c r="AD35"/>
  <c r="AD18"/>
  <c r="AD18" i="25"/>
  <c r="W9" i="19"/>
  <c r="W9" i="25"/>
  <c r="AD27" i="19"/>
  <c r="AD27" i="25"/>
  <c r="E22" i="19"/>
  <c r="E22" i="25"/>
  <c r="N18" i="19"/>
  <c r="N18" i="25"/>
  <c r="N17" i="19"/>
  <c r="N17" i="25"/>
  <c r="E23" i="19"/>
  <c r="E23" i="25"/>
  <c r="N19" i="19"/>
  <c r="N19" i="25"/>
  <c r="N33" i="19"/>
  <c r="N33" i="25"/>
  <c r="E44" i="19"/>
  <c r="E44" i="25"/>
  <c r="N24" i="19"/>
  <c r="N24" i="25"/>
  <c r="AD25" i="19"/>
  <c r="AD25" i="25"/>
  <c r="W10" i="19"/>
  <c r="W10" i="25"/>
  <c r="AD22" i="19"/>
  <c r="AD22" i="25"/>
  <c r="AD38" i="19"/>
  <c r="AD38" i="25"/>
  <c r="AD16" i="19"/>
  <c r="AD16" i="25"/>
  <c r="W13" i="19"/>
  <c r="W13" i="25"/>
  <c r="W15" i="19"/>
  <c r="W15" i="25"/>
  <c r="AD15" i="19"/>
  <c r="AD15" i="25"/>
  <c r="AD31" i="19"/>
  <c r="AD31" i="25"/>
  <c r="W16" i="19"/>
  <c r="W16" i="25"/>
  <c r="E10" i="19"/>
  <c r="E10" i="25"/>
  <c r="E26" i="19"/>
  <c r="E26" i="25"/>
  <c r="E42" i="19"/>
  <c r="E42" i="25"/>
  <c r="N6" i="19"/>
  <c r="N6" i="25"/>
  <c r="N22" i="19"/>
  <c r="N22" i="25"/>
  <c r="N38" i="19"/>
  <c r="N38" i="25"/>
  <c r="AD33" i="19"/>
  <c r="AD33" i="25"/>
  <c r="E37" i="19"/>
  <c r="E37" i="25"/>
  <c r="N29" i="19"/>
  <c r="N29" i="25"/>
  <c r="E11" i="19"/>
  <c r="E11" i="25"/>
  <c r="E27" i="19"/>
  <c r="E27" i="25"/>
  <c r="E43" i="19"/>
  <c r="E43" i="25"/>
  <c r="N7" i="19"/>
  <c r="N7" i="25"/>
  <c r="N23" i="19"/>
  <c r="N23" i="25"/>
  <c r="N39" i="19"/>
  <c r="N39" i="25"/>
  <c r="AD21" i="19"/>
  <c r="AD21" i="25"/>
  <c r="E53" i="19"/>
  <c r="E53" i="25"/>
  <c r="N45" i="19"/>
  <c r="N45" i="25"/>
  <c r="E16" i="19"/>
  <c r="E16" i="25"/>
  <c r="E32" i="19"/>
  <c r="E32" i="25"/>
  <c r="E48" i="19"/>
  <c r="E48" i="25"/>
  <c r="N12" i="19"/>
  <c r="N12" i="25"/>
  <c r="N28" i="19"/>
  <c r="N28" i="25"/>
  <c r="N44" i="19"/>
  <c r="N44" i="25"/>
  <c r="AD41" i="19"/>
  <c r="AD41" i="25"/>
  <c r="E45" i="19"/>
  <c r="E45" i="25"/>
  <c r="N5" i="19"/>
  <c r="N5" i="25"/>
  <c r="AD40" i="19"/>
  <c r="AD40" i="25"/>
  <c r="W22" i="19"/>
  <c r="W22" i="25"/>
  <c r="AD8" i="19"/>
  <c r="AD8" i="25"/>
  <c r="AD11" i="19"/>
  <c r="AD11" i="25"/>
  <c r="AD28" i="19"/>
  <c r="AD28" i="25"/>
  <c r="E54" i="19"/>
  <c r="E54" i="25"/>
  <c r="AD17" i="19"/>
  <c r="AD17" i="25"/>
  <c r="E7" i="19"/>
  <c r="E7" i="25"/>
  <c r="E55" i="19"/>
  <c r="E55" i="25"/>
  <c r="W5" i="19"/>
  <c r="W5" i="25"/>
  <c r="E12" i="19"/>
  <c r="E12" i="25"/>
  <c r="N8" i="19"/>
  <c r="N8" i="25"/>
  <c r="N37" i="19"/>
  <c r="N37" i="25"/>
  <c r="W14" i="19"/>
  <c r="W14" i="25"/>
  <c r="AD26" i="19"/>
  <c r="AD26" i="25"/>
  <c r="AD24" i="19"/>
  <c r="AD24" i="25"/>
  <c r="AD19" i="19"/>
  <c r="AD19" i="25"/>
  <c r="AD12" i="19"/>
  <c r="AD12" i="25"/>
  <c r="E30" i="19"/>
  <c r="E30" i="25"/>
  <c r="N10" i="19"/>
  <c r="N10" i="25"/>
  <c r="N42" i="19"/>
  <c r="N42" i="25"/>
  <c r="N41" i="19"/>
  <c r="N41" i="25"/>
  <c r="E31" i="19"/>
  <c r="E31" i="25"/>
  <c r="N11" i="19"/>
  <c r="N11" i="25"/>
  <c r="E17" i="19"/>
  <c r="E17" i="25"/>
  <c r="AD29" i="19"/>
  <c r="AD29" i="25"/>
  <c r="E36" i="19"/>
  <c r="E36" i="25"/>
  <c r="E52" i="19"/>
  <c r="E52" i="25"/>
  <c r="N32" i="19"/>
  <c r="N32" i="25"/>
  <c r="N48" i="19"/>
  <c r="N48" i="25"/>
  <c r="E9" i="19"/>
  <c r="E9" i="25"/>
  <c r="E5" i="19"/>
  <c r="E5" i="25"/>
  <c r="W23" i="19"/>
  <c r="W23" i="25"/>
  <c r="AD36" i="19"/>
  <c r="AD36" i="25"/>
  <c r="W21" i="19"/>
  <c r="W21" i="25"/>
  <c r="W6" i="19"/>
  <c r="W6" i="25"/>
  <c r="AD34" i="19"/>
  <c r="AD34" i="25"/>
  <c r="W11" i="19"/>
  <c r="W11" i="25"/>
  <c r="W8" i="19"/>
  <c r="W8" i="25"/>
  <c r="E38" i="19"/>
  <c r="E38" i="25"/>
  <c r="N34" i="19"/>
  <c r="N34" i="25"/>
  <c r="E25" i="19"/>
  <c r="E25" i="25"/>
  <c r="E39" i="19"/>
  <c r="E39" i="25"/>
  <c r="N35" i="19"/>
  <c r="N35" i="25"/>
  <c r="E41" i="19"/>
  <c r="E41" i="25"/>
  <c r="E28" i="19"/>
  <c r="E28" i="25"/>
  <c r="N40" i="19"/>
  <c r="N40" i="25"/>
  <c r="E33" i="19"/>
  <c r="E33" i="25"/>
  <c r="AD10" i="19"/>
  <c r="AD10" i="25"/>
  <c r="AD42" i="19"/>
  <c r="AD42" i="25"/>
  <c r="W17" i="19"/>
  <c r="W17" i="25"/>
  <c r="W19" i="19"/>
  <c r="W19" i="25"/>
  <c r="AD39" i="19"/>
  <c r="AD39" i="25"/>
  <c r="E14" i="19"/>
  <c r="E14" i="25"/>
  <c r="E46" i="19"/>
  <c r="E46" i="25"/>
  <c r="N26" i="19"/>
  <c r="N26" i="25"/>
  <c r="AD37" i="19"/>
  <c r="AD37" i="25"/>
  <c r="E49" i="19"/>
  <c r="E49" i="25"/>
  <c r="E15" i="19"/>
  <c r="E15" i="25"/>
  <c r="E47" i="19"/>
  <c r="E47" i="25"/>
  <c r="N27" i="19"/>
  <c r="N27" i="25"/>
  <c r="N43" i="19"/>
  <c r="N43" i="25"/>
  <c r="N13" i="19"/>
  <c r="N13" i="25"/>
  <c r="E20" i="19"/>
  <c r="E20" i="25"/>
  <c r="N16" i="19"/>
  <c r="N16" i="25"/>
  <c r="W18" i="19"/>
  <c r="W18" i="25"/>
  <c r="AD14" i="19"/>
  <c r="AD14" i="25"/>
  <c r="AD30" i="19"/>
  <c r="AD30" i="25"/>
  <c r="W12" i="19"/>
  <c r="W12" i="25"/>
  <c r="AD32" i="19"/>
  <c r="AD32" i="25"/>
  <c r="W7" i="19"/>
  <c r="W7" i="25"/>
  <c r="AD23" i="19"/>
  <c r="AD23" i="25"/>
  <c r="AD5" i="19"/>
  <c r="AD5" i="25"/>
  <c r="AD20" i="19"/>
  <c r="AD20" i="25"/>
  <c r="E18" i="19"/>
  <c r="E18" i="25"/>
  <c r="E34" i="19"/>
  <c r="E34" i="25"/>
  <c r="E50" i="19"/>
  <c r="E50" i="25"/>
  <c r="N14" i="19"/>
  <c r="N14" i="25"/>
  <c r="N30" i="19"/>
  <c r="N30" i="25"/>
  <c r="N46" i="19"/>
  <c r="N46" i="25"/>
  <c r="E13" i="19"/>
  <c r="E13" i="25"/>
  <c r="N9" i="19"/>
  <c r="N9" i="25"/>
  <c r="AD13" i="19"/>
  <c r="AD13" i="25"/>
  <c r="E19" i="19"/>
  <c r="E19" i="25"/>
  <c r="E35" i="19"/>
  <c r="E35" i="25"/>
  <c r="E51" i="19"/>
  <c r="E51" i="25"/>
  <c r="N15" i="19"/>
  <c r="N15" i="25"/>
  <c r="N31" i="19"/>
  <c r="N31" i="25"/>
  <c r="N47" i="19"/>
  <c r="N47" i="25"/>
  <c r="E29" i="19"/>
  <c r="E29" i="25"/>
  <c r="N21" i="19"/>
  <c r="N21" i="25"/>
  <c r="E8" i="19"/>
  <c r="E8" i="25"/>
  <c r="E24" i="19"/>
  <c r="E24" i="25"/>
  <c r="E40" i="19"/>
  <c r="E40" i="25"/>
  <c r="E56" i="19"/>
  <c r="E56" i="25"/>
  <c r="N20" i="19"/>
  <c r="N20" i="25"/>
  <c r="N36" i="19"/>
  <c r="N36" i="25"/>
  <c r="AD9" i="19"/>
  <c r="AD9" i="25"/>
  <c r="E21" i="19"/>
  <c r="E21" i="25"/>
  <c r="N25" i="19"/>
  <c r="N25" i="25"/>
  <c r="W24" i="19"/>
  <c r="W24" i="25"/>
  <c r="E6" i="19"/>
  <c r="E6" i="25"/>
  <c r="AD7" i="19"/>
  <c r="AD7" i="18"/>
  <c r="AD6" i="19"/>
  <c r="AD6" i="18"/>
  <c r="AD16" i="10"/>
  <c r="AD16" i="18"/>
  <c r="AD16" i="12"/>
  <c r="AD31" i="10"/>
  <c r="AD31" i="18"/>
  <c r="AD31" i="12"/>
  <c r="E26" i="10"/>
  <c r="E26" i="18"/>
  <c r="E26" i="12"/>
  <c r="AD17" i="10"/>
  <c r="AD17" i="18"/>
  <c r="AD17" i="12"/>
  <c r="E23" i="10"/>
  <c r="E23" i="18"/>
  <c r="E23" i="12"/>
  <c r="N35" i="10"/>
  <c r="N35" i="18"/>
  <c r="N35" i="12"/>
  <c r="E12" i="10"/>
  <c r="E12" i="18"/>
  <c r="E12" i="12"/>
  <c r="N40" i="10"/>
  <c r="N40" i="18"/>
  <c r="N40" i="12"/>
  <c r="E6" i="10"/>
  <c r="E6" i="18"/>
  <c r="E6" i="12"/>
  <c r="AD22" i="10"/>
  <c r="AD22" i="18"/>
  <c r="AD22" i="12"/>
  <c r="W15" i="10"/>
  <c r="W15" i="18"/>
  <c r="W15" i="12"/>
  <c r="E10" i="10"/>
  <c r="E10" i="18"/>
  <c r="E10" i="12"/>
  <c r="N22" i="10"/>
  <c r="N22" i="18"/>
  <c r="N22" i="12"/>
  <c r="N17" i="10"/>
  <c r="N17" i="18"/>
  <c r="N17" i="12"/>
  <c r="E55" i="10"/>
  <c r="E55" i="18"/>
  <c r="E55" i="12"/>
  <c r="E41" i="10"/>
  <c r="E41" i="18"/>
  <c r="E41" i="12"/>
  <c r="E44" i="10"/>
  <c r="E44" i="18"/>
  <c r="E44" i="12"/>
  <c r="AD25" i="10"/>
  <c r="AD25" i="18"/>
  <c r="AD25" i="12"/>
  <c r="N37" i="10"/>
  <c r="N37" i="18"/>
  <c r="N37" i="12"/>
  <c r="AD10" i="10"/>
  <c r="AD10" i="18"/>
  <c r="AD10" i="12"/>
  <c r="AD24" i="10"/>
  <c r="AD24" i="18"/>
  <c r="AD24" i="12"/>
  <c r="AD39" i="10"/>
  <c r="AD39" i="18"/>
  <c r="D61" i="8" s="1"/>
  <c r="AD39" i="12"/>
  <c r="E30" i="10"/>
  <c r="E30" i="18"/>
  <c r="E30" i="12"/>
  <c r="N26" i="10"/>
  <c r="N26" i="18"/>
  <c r="N26" i="12"/>
  <c r="AD33" i="10"/>
  <c r="AD33" i="18"/>
  <c r="AD33" i="12"/>
  <c r="N29" i="10"/>
  <c r="N29" i="18"/>
  <c r="N29" i="12"/>
  <c r="E11" i="10"/>
  <c r="E11" i="18"/>
  <c r="E11" i="12"/>
  <c r="E27" i="10"/>
  <c r="E27" i="18"/>
  <c r="E27" i="12"/>
  <c r="E43" i="10"/>
  <c r="E43" i="18"/>
  <c r="E43" i="12"/>
  <c r="N7" i="10"/>
  <c r="N7" i="18"/>
  <c r="N7" i="12"/>
  <c r="N23" i="10"/>
  <c r="N23" i="18"/>
  <c r="N23" i="12"/>
  <c r="N39" i="10"/>
  <c r="N39" i="18"/>
  <c r="N39" i="12"/>
  <c r="AD21" i="10"/>
  <c r="AD21" i="18"/>
  <c r="AD21" i="12"/>
  <c r="E53" i="10"/>
  <c r="E53" i="18"/>
  <c r="E53" i="12"/>
  <c r="N45" i="10"/>
  <c r="N45" i="18"/>
  <c r="N45" i="12"/>
  <c r="E16" i="10"/>
  <c r="E16" i="18"/>
  <c r="E16" i="12"/>
  <c r="E32" i="10"/>
  <c r="E32" i="18"/>
  <c r="E32" i="12"/>
  <c r="E48" i="10"/>
  <c r="E48" i="18"/>
  <c r="E48" i="12"/>
  <c r="N12" i="10"/>
  <c r="N12" i="18"/>
  <c r="N12" i="12"/>
  <c r="N28" i="10"/>
  <c r="N28" i="18"/>
  <c r="N28" i="12"/>
  <c r="N44" i="10"/>
  <c r="N44" i="18"/>
  <c r="N44" i="12"/>
  <c r="AD41" i="10"/>
  <c r="AD41" i="18"/>
  <c r="AD41" i="12"/>
  <c r="C59" i="8" s="1"/>
  <c r="E45" i="10"/>
  <c r="E45" i="18"/>
  <c r="E45" i="12"/>
  <c r="N5" i="10"/>
  <c r="N5" i="18"/>
  <c r="N5" i="12"/>
  <c r="AD35" i="10"/>
  <c r="AD35" i="18"/>
  <c r="AD35" i="12"/>
  <c r="W10" i="10"/>
  <c r="W10" i="18"/>
  <c r="W10" i="12"/>
  <c r="AD38" i="10"/>
  <c r="AD38" i="18"/>
  <c r="AD38" i="12"/>
  <c r="AD15" i="10"/>
  <c r="AD15" i="18"/>
  <c r="AD15" i="12"/>
  <c r="E42" i="10"/>
  <c r="E42" i="18"/>
  <c r="E42" i="12"/>
  <c r="N38" i="10"/>
  <c r="N38" i="18"/>
  <c r="N38" i="12"/>
  <c r="E7" i="10"/>
  <c r="E7" i="18"/>
  <c r="E7" i="12"/>
  <c r="N19" i="10"/>
  <c r="N19" i="18"/>
  <c r="N19" i="12"/>
  <c r="N33" i="10"/>
  <c r="N33" i="18"/>
  <c r="N33" i="12"/>
  <c r="N24" i="10"/>
  <c r="N24" i="18"/>
  <c r="N24" i="12"/>
  <c r="E33" i="10"/>
  <c r="E33" i="18"/>
  <c r="E33" i="12"/>
  <c r="W14" i="10"/>
  <c r="W14" i="18"/>
  <c r="W14" i="12"/>
  <c r="AD42" i="10"/>
  <c r="AD42" i="18"/>
  <c r="AD42" i="12"/>
  <c r="W19" i="10"/>
  <c r="W19" i="18"/>
  <c r="W19" i="12"/>
  <c r="AD12" i="10"/>
  <c r="AD12" i="18"/>
  <c r="AD12" i="12"/>
  <c r="E46" i="10"/>
  <c r="E46" i="18"/>
  <c r="E46" i="12"/>
  <c r="N42" i="10"/>
  <c r="N42" i="18"/>
  <c r="N42" i="12"/>
  <c r="W18" i="10"/>
  <c r="W18" i="18"/>
  <c r="W18" i="12"/>
  <c r="AD30" i="10"/>
  <c r="AD30" i="18"/>
  <c r="AD30" i="12"/>
  <c r="AD32" i="10"/>
  <c r="AD32" i="18"/>
  <c r="AD32" i="12"/>
  <c r="W7" i="10"/>
  <c r="W7" i="18"/>
  <c r="W7" i="12"/>
  <c r="AD7" i="10"/>
  <c r="AD7" i="12"/>
  <c r="AD23" i="10"/>
  <c r="AD23" i="18"/>
  <c r="AD23" i="12"/>
  <c r="AD5" i="10"/>
  <c r="AD5" i="18"/>
  <c r="AD5" i="12"/>
  <c r="AD20" i="10"/>
  <c r="AD20" i="18"/>
  <c r="AD20" i="12"/>
  <c r="E18" i="10"/>
  <c r="E18" i="18"/>
  <c r="E18" i="12"/>
  <c r="E34" i="10"/>
  <c r="E34" i="18"/>
  <c r="E34" i="12"/>
  <c r="E50" i="10"/>
  <c r="E50" i="18"/>
  <c r="E50" i="12"/>
  <c r="N14" i="10"/>
  <c r="N14" i="18"/>
  <c r="N14" i="12"/>
  <c r="N30" i="10"/>
  <c r="N30" i="18"/>
  <c r="N30" i="12"/>
  <c r="N46" i="10"/>
  <c r="N46" i="18"/>
  <c r="N46" i="12"/>
  <c r="AD37" i="10"/>
  <c r="AD37" i="18"/>
  <c r="AD37" i="12"/>
  <c r="E49" i="10"/>
  <c r="E49" i="18"/>
  <c r="E49" i="12"/>
  <c r="N41" i="10"/>
  <c r="N41" i="18"/>
  <c r="N41" i="12"/>
  <c r="E15" i="10"/>
  <c r="E15" i="18"/>
  <c r="E15" i="12"/>
  <c r="E31" i="10"/>
  <c r="E31" i="18"/>
  <c r="E31" i="12"/>
  <c r="E47" i="10"/>
  <c r="E47" i="18"/>
  <c r="E47" i="12"/>
  <c r="N11" i="10"/>
  <c r="N11" i="18"/>
  <c r="N11" i="12"/>
  <c r="N27" i="10"/>
  <c r="N27" i="18"/>
  <c r="N27" i="12"/>
  <c r="N43" i="10"/>
  <c r="N43" i="18"/>
  <c r="N43" i="12"/>
  <c r="E17" i="10"/>
  <c r="E17" i="18"/>
  <c r="E17" i="12"/>
  <c r="N13" i="10"/>
  <c r="N13" i="18"/>
  <c r="N13" i="12"/>
  <c r="AD29" i="10"/>
  <c r="AD29" i="18"/>
  <c r="AD29" i="12"/>
  <c r="E20" i="10"/>
  <c r="E20" i="18"/>
  <c r="E20" i="12"/>
  <c r="E36" i="10"/>
  <c r="E36" i="18"/>
  <c r="E36" i="12"/>
  <c r="E52" i="10"/>
  <c r="E52" i="18"/>
  <c r="E52" i="12"/>
  <c r="N16" i="10"/>
  <c r="N16" i="18"/>
  <c r="N16" i="12"/>
  <c r="N32" i="10"/>
  <c r="N32" i="18"/>
  <c r="N32" i="12"/>
  <c r="N48" i="10"/>
  <c r="N48" i="18"/>
  <c r="N48" i="12"/>
  <c r="E9" i="10"/>
  <c r="E9" i="18"/>
  <c r="E9" i="12"/>
  <c r="E5" i="10"/>
  <c r="E5" i="18"/>
  <c r="E5" i="12"/>
  <c r="W20" i="10"/>
  <c r="W20" i="18"/>
  <c r="W20" i="12"/>
  <c r="AD40" i="10"/>
  <c r="AD40" i="18"/>
  <c r="AD40" i="12"/>
  <c r="AD6" i="10"/>
  <c r="AD6" i="12"/>
  <c r="W13" i="10"/>
  <c r="W13" i="18"/>
  <c r="W13" i="12"/>
  <c r="W16" i="10"/>
  <c r="W16" i="18"/>
  <c r="W16" i="12"/>
  <c r="N6" i="10"/>
  <c r="N6" i="18"/>
  <c r="N6" i="12"/>
  <c r="E25" i="10"/>
  <c r="E25" i="18"/>
  <c r="E25" i="12"/>
  <c r="E39" i="10"/>
  <c r="E39" i="18"/>
  <c r="E39" i="12"/>
  <c r="W5" i="10"/>
  <c r="W5" i="18"/>
  <c r="W5" i="12"/>
  <c r="E28" i="10"/>
  <c r="E28" i="18"/>
  <c r="E28" i="12"/>
  <c r="N8" i="10"/>
  <c r="N8" i="18"/>
  <c r="N8" i="12"/>
  <c r="W24" i="10"/>
  <c r="W24" i="18"/>
  <c r="W24" i="12"/>
  <c r="AD26" i="10"/>
  <c r="AD26" i="18"/>
  <c r="AD26" i="12"/>
  <c r="W17" i="10"/>
  <c r="W17" i="18"/>
  <c r="W17" i="12"/>
  <c r="AD19" i="10"/>
  <c r="AD19" i="18"/>
  <c r="AD19" i="12"/>
  <c r="E14" i="10"/>
  <c r="E14" i="18"/>
  <c r="E14" i="12"/>
  <c r="N10" i="10"/>
  <c r="N10" i="18"/>
  <c r="N10" i="12"/>
  <c r="E37" i="10"/>
  <c r="E37" i="18"/>
  <c r="E37" i="12"/>
  <c r="AD14" i="10"/>
  <c r="AD14" i="18"/>
  <c r="AD14" i="12"/>
  <c r="W12" i="10"/>
  <c r="W12" i="18"/>
  <c r="W12" i="12"/>
  <c r="W6" i="10"/>
  <c r="W6" i="18"/>
  <c r="W6" i="12"/>
  <c r="W22" i="10"/>
  <c r="W22" i="18"/>
  <c r="W22" i="12"/>
  <c r="AD18" i="10"/>
  <c r="AD18" i="18"/>
  <c r="AD18" i="12"/>
  <c r="AD34" i="10"/>
  <c r="AD34" i="18"/>
  <c r="AD34" i="12"/>
  <c r="AD8" i="10"/>
  <c r="AD8" i="18"/>
  <c r="AD8" i="12"/>
  <c r="W9" i="10"/>
  <c r="W9" i="18"/>
  <c r="W9" i="12"/>
  <c r="W11" i="10"/>
  <c r="W11" i="18"/>
  <c r="W11" i="12"/>
  <c r="AD11" i="10"/>
  <c r="AD11" i="18"/>
  <c r="AD11" i="12"/>
  <c r="AD27" i="10"/>
  <c r="AD27" i="18"/>
  <c r="AD27" i="12"/>
  <c r="W8" i="10"/>
  <c r="W8" i="18"/>
  <c r="W8" i="12"/>
  <c r="AD28" i="10"/>
  <c r="AD28" i="18"/>
  <c r="AD28" i="12"/>
  <c r="E22" i="10"/>
  <c r="E22" i="18"/>
  <c r="E22" i="12"/>
  <c r="E38" i="10"/>
  <c r="E38" i="18"/>
  <c r="E38" i="12"/>
  <c r="E54" i="10"/>
  <c r="E54" i="18"/>
  <c r="E54" i="12"/>
  <c r="N18" i="10"/>
  <c r="N18" i="18"/>
  <c r="N18" i="12"/>
  <c r="N34" i="10"/>
  <c r="N34" i="18"/>
  <c r="N34" i="12"/>
  <c r="W21" i="10"/>
  <c r="W21" i="18"/>
  <c r="W21" i="12"/>
  <c r="E13" i="10"/>
  <c r="E13" i="18"/>
  <c r="E13" i="12"/>
  <c r="N9" i="10"/>
  <c r="N9" i="18"/>
  <c r="N9" i="12"/>
  <c r="AD13" i="10"/>
  <c r="AD13" i="18"/>
  <c r="AD13" i="12"/>
  <c r="E19" i="10"/>
  <c r="E19" i="18"/>
  <c r="E19" i="12"/>
  <c r="E35" i="10"/>
  <c r="E35" i="18"/>
  <c r="E35" i="12"/>
  <c r="E51" i="10"/>
  <c r="E51" i="18"/>
  <c r="E51" i="12"/>
  <c r="N15" i="10"/>
  <c r="N15" i="18"/>
  <c r="N15" i="12"/>
  <c r="N31" i="10"/>
  <c r="N31" i="18"/>
  <c r="N31" i="12"/>
  <c r="N47" i="10"/>
  <c r="N47" i="18"/>
  <c r="N47" i="12"/>
  <c r="E29" i="10"/>
  <c r="E29" i="18"/>
  <c r="E29" i="12"/>
  <c r="N21" i="10"/>
  <c r="N21" i="18"/>
  <c r="N21" i="12"/>
  <c r="E8" i="10"/>
  <c r="E8" i="18"/>
  <c r="E8" i="12"/>
  <c r="E24" i="10"/>
  <c r="E24" i="18"/>
  <c r="E24" i="12"/>
  <c r="E40" i="10"/>
  <c r="E40" i="18"/>
  <c r="E40" i="12"/>
  <c r="E56" i="10"/>
  <c r="E56" i="18"/>
  <c r="E56" i="12"/>
  <c r="N20" i="10"/>
  <c r="N20" i="18"/>
  <c r="N20" i="12"/>
  <c r="N36" i="10"/>
  <c r="N36" i="18"/>
  <c r="N36" i="12"/>
  <c r="AD9" i="10"/>
  <c r="AD9" i="18"/>
  <c r="AD9" i="12"/>
  <c r="E21" i="10"/>
  <c r="E21" i="18"/>
  <c r="E21" i="12"/>
  <c r="N25" i="10"/>
  <c r="N25" i="18"/>
  <c r="N25" i="12"/>
  <c r="W23" i="10"/>
  <c r="W23" i="18"/>
  <c r="W23" i="12"/>
  <c r="AD36" i="10"/>
  <c r="AD36" i="18"/>
  <c r="AD36" i="12"/>
  <c r="Q57" i="4"/>
  <c r="K18" i="5" s="1"/>
  <c r="N57" i="4"/>
  <c r="K17" i="5" s="1"/>
  <c r="K57" i="4"/>
  <c r="G60" s="1"/>
  <c r="L11" i="5" s="1"/>
  <c r="H57" i="4"/>
  <c r="G59" s="1"/>
  <c r="J11" i="5" s="1"/>
  <c r="C18" i="8" l="1"/>
  <c r="C15"/>
  <c r="D37"/>
  <c r="D72"/>
  <c r="C72"/>
  <c r="D68"/>
  <c r="D36"/>
  <c r="C32"/>
  <c r="C61"/>
  <c r="C12"/>
  <c r="C17"/>
  <c r="C20"/>
  <c r="C16"/>
  <c r="C19"/>
  <c r="C13"/>
  <c r="C14"/>
  <c r="AE14" i="4"/>
  <c r="D13" i="8"/>
  <c r="D28"/>
  <c r="C36"/>
  <c r="D32"/>
  <c r="C34"/>
  <c r="D31"/>
  <c r="D34"/>
  <c r="C37"/>
  <c r="C28"/>
  <c r="C68"/>
  <c r="D59"/>
  <c r="C31"/>
  <c r="C67"/>
  <c r="D67"/>
  <c r="C29"/>
  <c r="D29"/>
  <c r="D33"/>
  <c r="C33"/>
  <c r="C26"/>
  <c r="D26"/>
  <c r="C73"/>
  <c r="D73"/>
  <c r="D54"/>
  <c r="C54"/>
  <c r="D20"/>
  <c r="D56"/>
  <c r="C56"/>
  <c r="D62"/>
  <c r="C62"/>
  <c r="D19"/>
  <c r="D17"/>
  <c r="C58"/>
  <c r="D58"/>
  <c r="C55"/>
  <c r="D55"/>
  <c r="C57"/>
  <c r="D57"/>
  <c r="D71"/>
  <c r="C71"/>
  <c r="D53"/>
  <c r="C53"/>
  <c r="D60"/>
  <c r="C60"/>
  <c r="C30"/>
  <c r="D30"/>
  <c r="C70"/>
  <c r="D70"/>
  <c r="C69"/>
  <c r="D69"/>
  <c r="C27"/>
  <c r="D27"/>
  <c r="D16"/>
  <c r="D24"/>
  <c r="C24"/>
  <c r="D15"/>
  <c r="C35"/>
  <c r="D35"/>
  <c r="D18"/>
  <c r="C25"/>
  <c r="D25"/>
  <c r="D14"/>
  <c r="D74"/>
  <c r="C74"/>
  <c r="D12"/>
  <c r="C43" i="6"/>
  <c r="D43"/>
  <c r="C36"/>
  <c r="D36"/>
  <c r="C44"/>
  <c r="D44"/>
  <c r="D42"/>
  <c r="C42"/>
  <c r="C45" s="1"/>
  <c r="D35"/>
  <c r="C35"/>
  <c r="C37"/>
  <c r="D37"/>
  <c r="C28"/>
  <c r="D28"/>
  <c r="D12"/>
  <c r="C12"/>
  <c r="D24"/>
  <c r="C24"/>
  <c r="C20"/>
  <c r="D20"/>
  <c r="C29"/>
  <c r="D29"/>
  <c r="C22"/>
  <c r="D22"/>
  <c r="D14"/>
  <c r="C14"/>
  <c r="C23"/>
  <c r="D23"/>
  <c r="C11"/>
  <c r="D11"/>
  <c r="D10"/>
  <c r="C10"/>
  <c r="C15"/>
  <c r="D15"/>
  <c r="C21"/>
  <c r="D21"/>
  <c r="C13"/>
  <c r="D13"/>
  <c r="AK8" i="4"/>
  <c r="AE8"/>
  <c r="AJ10"/>
  <c r="AD10"/>
  <c r="AK18"/>
  <c r="AE18"/>
  <c r="AC7"/>
  <c r="AI7"/>
  <c r="Y7"/>
  <c r="U7"/>
  <c r="AI26"/>
  <c r="AC26"/>
  <c r="Y26"/>
  <c r="U26"/>
  <c r="X14"/>
  <c r="AH14"/>
  <c r="AB14"/>
  <c r="T14"/>
  <c r="AB33"/>
  <c r="AH33"/>
  <c r="X33"/>
  <c r="T33"/>
  <c r="AK22"/>
  <c r="AE22"/>
  <c r="AC4"/>
  <c r="AI4"/>
  <c r="Y4"/>
  <c r="U4"/>
  <c r="AC27"/>
  <c r="Y27"/>
  <c r="AI27"/>
  <c r="U27"/>
  <c r="AH26"/>
  <c r="AB26"/>
  <c r="X26"/>
  <c r="T26"/>
  <c r="AE9"/>
  <c r="AK9"/>
  <c r="AB40"/>
  <c r="AH40"/>
  <c r="T40"/>
  <c r="X40"/>
  <c r="AB9"/>
  <c r="AH9"/>
  <c r="T9"/>
  <c r="X9"/>
  <c r="Y39"/>
  <c r="AC39"/>
  <c r="AI39"/>
  <c r="U39"/>
  <c r="AK16"/>
  <c r="AE16"/>
  <c r="X39"/>
  <c r="T39"/>
  <c r="AB39"/>
  <c r="AH39"/>
  <c r="X50"/>
  <c r="AH50"/>
  <c r="T50"/>
  <c r="AB50"/>
  <c r="AK17"/>
  <c r="AE17"/>
  <c r="U15"/>
  <c r="AC15"/>
  <c r="AI15"/>
  <c r="Y15"/>
  <c r="AC45"/>
  <c r="AI45"/>
  <c r="Y45"/>
  <c r="U45"/>
  <c r="AE31"/>
  <c r="AK31"/>
  <c r="X45"/>
  <c r="AB45"/>
  <c r="T45"/>
  <c r="AH45"/>
  <c r="U18"/>
  <c r="AI18"/>
  <c r="AC18"/>
  <c r="Y18"/>
  <c r="AK14"/>
  <c r="AH15"/>
  <c r="T15"/>
  <c r="AB15"/>
  <c r="X15"/>
  <c r="Y38"/>
  <c r="AI38"/>
  <c r="U38"/>
  <c r="AC38"/>
  <c r="U25"/>
  <c r="AC25"/>
  <c r="AI25"/>
  <c r="Y25"/>
  <c r="T20"/>
  <c r="AH20"/>
  <c r="X20"/>
  <c r="AB20"/>
  <c r="AB55"/>
  <c r="AH55"/>
  <c r="X55"/>
  <c r="T55"/>
  <c r="Y20"/>
  <c r="AI20"/>
  <c r="U20"/>
  <c r="AC20"/>
  <c r="AI14"/>
  <c r="AC14"/>
  <c r="Y14"/>
  <c r="U14"/>
  <c r="AK12"/>
  <c r="AE12"/>
  <c r="Y33"/>
  <c r="AC33"/>
  <c r="U33"/>
  <c r="AI33"/>
  <c r="X21"/>
  <c r="AH21"/>
  <c r="T21"/>
  <c r="AB21"/>
  <c r="AK10"/>
  <c r="AE10"/>
  <c r="AE33"/>
  <c r="AK33"/>
  <c r="AJ11"/>
  <c r="AD11"/>
  <c r="AH13"/>
  <c r="X13"/>
  <c r="AB13"/>
  <c r="T13"/>
  <c r="AD23"/>
  <c r="AJ23"/>
  <c r="AB38"/>
  <c r="X38"/>
  <c r="T38"/>
  <c r="AH38"/>
  <c r="AD12"/>
  <c r="AJ12"/>
  <c r="AJ19"/>
  <c r="AD19"/>
  <c r="U31"/>
  <c r="AC31"/>
  <c r="Y31"/>
  <c r="AI31"/>
  <c r="X19"/>
  <c r="AH19"/>
  <c r="T19"/>
  <c r="AB19"/>
  <c r="AC42"/>
  <c r="U42"/>
  <c r="AI42"/>
  <c r="Y42"/>
  <c r="AH30"/>
  <c r="X30"/>
  <c r="AB30"/>
  <c r="T30"/>
  <c r="AK36"/>
  <c r="AE36"/>
  <c r="X49"/>
  <c r="T49"/>
  <c r="AB49"/>
  <c r="AH49"/>
  <c r="AE4"/>
  <c r="AK4"/>
  <c r="AJ6"/>
  <c r="AD6"/>
  <c r="AI41"/>
  <c r="Y41"/>
  <c r="U41"/>
  <c r="AC41"/>
  <c r="AK41"/>
  <c r="AE41"/>
  <c r="Y32"/>
  <c r="AI32"/>
  <c r="AC32"/>
  <c r="U32"/>
  <c r="AB41"/>
  <c r="T41"/>
  <c r="AH41"/>
  <c r="X41"/>
  <c r="AK34"/>
  <c r="AE34"/>
  <c r="AC43"/>
  <c r="Y43"/>
  <c r="AI43"/>
  <c r="U43"/>
  <c r="AH31"/>
  <c r="AB31"/>
  <c r="T31"/>
  <c r="X31"/>
  <c r="AK20"/>
  <c r="AE20"/>
  <c r="AH42"/>
  <c r="X42"/>
  <c r="AB42"/>
  <c r="T42"/>
  <c r="AE32"/>
  <c r="AK32"/>
  <c r="AE23"/>
  <c r="AK23"/>
  <c r="T43"/>
  <c r="AB43"/>
  <c r="AH43"/>
  <c r="X43"/>
  <c r="AI21"/>
  <c r="AC21"/>
  <c r="Y21"/>
  <c r="U21"/>
  <c r="T5"/>
  <c r="AB5"/>
  <c r="X5"/>
  <c r="AH5"/>
  <c r="AB22"/>
  <c r="T22"/>
  <c r="AH22"/>
  <c r="X22"/>
  <c r="AK15"/>
  <c r="AE15"/>
  <c r="X28"/>
  <c r="AH28"/>
  <c r="T28"/>
  <c r="AB28"/>
  <c r="AC24"/>
  <c r="U24"/>
  <c r="AI24"/>
  <c r="Y24"/>
  <c r="AH7"/>
  <c r="X7"/>
  <c r="T7"/>
  <c r="AB7"/>
  <c r="X18"/>
  <c r="AH18"/>
  <c r="T18"/>
  <c r="AB18"/>
  <c r="AD20"/>
  <c r="AJ20"/>
  <c r="AK26"/>
  <c r="AE26"/>
  <c r="AK7"/>
  <c r="AE7"/>
  <c r="AJ5"/>
  <c r="AD5"/>
  <c r="Y9"/>
  <c r="AI9"/>
  <c r="U9"/>
  <c r="AC9"/>
  <c r="AE25"/>
  <c r="AK25"/>
  <c r="AD4"/>
  <c r="AJ4"/>
  <c r="AD15"/>
  <c r="AJ15"/>
  <c r="AK39"/>
  <c r="AE39"/>
  <c r="U47"/>
  <c r="AC47"/>
  <c r="Y47"/>
  <c r="AI47"/>
  <c r="AH35"/>
  <c r="X35"/>
  <c r="T35"/>
  <c r="AB35"/>
  <c r="AH16"/>
  <c r="AB16"/>
  <c r="X16"/>
  <c r="T16"/>
  <c r="AH46"/>
  <c r="AB46"/>
  <c r="T46"/>
  <c r="X46"/>
  <c r="AB48"/>
  <c r="X48"/>
  <c r="AH48"/>
  <c r="T48"/>
  <c r="Y13"/>
  <c r="AC13"/>
  <c r="U13"/>
  <c r="AI13"/>
  <c r="AK19"/>
  <c r="AE19"/>
  <c r="AK6"/>
  <c r="AE6"/>
  <c r="AD17"/>
  <c r="AJ17"/>
  <c r="AJ18"/>
  <c r="AD18"/>
  <c r="AI23"/>
  <c r="Y23"/>
  <c r="AC23"/>
  <c r="U23"/>
  <c r="Y37"/>
  <c r="U37"/>
  <c r="AC37"/>
  <c r="AI37"/>
  <c r="AD9"/>
  <c r="AJ9"/>
  <c r="AK40"/>
  <c r="AE40"/>
  <c r="T47"/>
  <c r="AH47"/>
  <c r="AB47"/>
  <c r="X47"/>
  <c r="AH52"/>
  <c r="T52"/>
  <c r="AB52"/>
  <c r="X52"/>
  <c r="Y6"/>
  <c r="AI6"/>
  <c r="AC6"/>
  <c r="U6"/>
  <c r="AC28"/>
  <c r="AI28"/>
  <c r="U28"/>
  <c r="Y28"/>
  <c r="AK38"/>
  <c r="AE38"/>
  <c r="AE24"/>
  <c r="AK24"/>
  <c r="Y16"/>
  <c r="U16"/>
  <c r="AI16"/>
  <c r="AC16"/>
  <c r="AE21"/>
  <c r="AK21"/>
  <c r="Y34"/>
  <c r="AI34"/>
  <c r="AC34"/>
  <c r="U34"/>
  <c r="AK30"/>
  <c r="AE30"/>
  <c r="AK35"/>
  <c r="AE35"/>
  <c r="U8"/>
  <c r="AC8"/>
  <c r="AI8"/>
  <c r="Y8"/>
  <c r="AI17"/>
  <c r="AC17"/>
  <c r="Y17"/>
  <c r="U17"/>
  <c r="AE27"/>
  <c r="AK27"/>
  <c r="AE13"/>
  <c r="AK13"/>
  <c r="T24"/>
  <c r="AH24"/>
  <c r="AB24"/>
  <c r="X24"/>
  <c r="T4"/>
  <c r="AH4"/>
  <c r="X4"/>
  <c r="AB4"/>
  <c r="AK28"/>
  <c r="AE28"/>
  <c r="AD13"/>
  <c r="AJ13"/>
  <c r="AI19"/>
  <c r="U19"/>
  <c r="AC19"/>
  <c r="Y19"/>
  <c r="AI30"/>
  <c r="AC30"/>
  <c r="Y30"/>
  <c r="U30"/>
  <c r="T37"/>
  <c r="AH37"/>
  <c r="AB37"/>
  <c r="X37"/>
  <c r="AJ22"/>
  <c r="AD22"/>
  <c r="U35"/>
  <c r="AC35"/>
  <c r="Y35"/>
  <c r="AI35"/>
  <c r="AB23"/>
  <c r="X23"/>
  <c r="AH23"/>
  <c r="T23"/>
  <c r="AI46"/>
  <c r="AC46"/>
  <c r="Y46"/>
  <c r="U46"/>
  <c r="T34"/>
  <c r="AB34"/>
  <c r="AH34"/>
  <c r="X34"/>
  <c r="AH12"/>
  <c r="X12"/>
  <c r="AB12"/>
  <c r="T12"/>
  <c r="X53"/>
  <c r="AH53"/>
  <c r="T53"/>
  <c r="AB53"/>
  <c r="AJ7"/>
  <c r="AD7"/>
  <c r="AJ8"/>
  <c r="AD8"/>
  <c r="AD21"/>
  <c r="AJ21"/>
  <c r="T36"/>
  <c r="AB36"/>
  <c r="AH36"/>
  <c r="X36"/>
  <c r="AD16"/>
  <c r="AJ16"/>
  <c r="T27"/>
  <c r="AH27"/>
  <c r="X27"/>
  <c r="AB27"/>
  <c r="Y5"/>
  <c r="U5"/>
  <c r="AC5"/>
  <c r="AI5"/>
  <c r="AE5"/>
  <c r="AK5"/>
  <c r="AB8"/>
  <c r="T8"/>
  <c r="AH8"/>
  <c r="X8"/>
  <c r="X51"/>
  <c r="AB51"/>
  <c r="AH51"/>
  <c r="T51"/>
  <c r="AC12"/>
  <c r="U12"/>
  <c r="AI12"/>
  <c r="Y12"/>
  <c r="AC10"/>
  <c r="Y10"/>
  <c r="U10"/>
  <c r="AI10"/>
  <c r="AI40"/>
  <c r="U40"/>
  <c r="AC40"/>
  <c r="Y40"/>
  <c r="U29"/>
  <c r="AC29"/>
  <c r="AI29"/>
  <c r="Y29"/>
  <c r="X17"/>
  <c r="T17"/>
  <c r="AH17"/>
  <c r="AB17"/>
  <c r="AK29"/>
  <c r="AE29"/>
  <c r="AK11"/>
  <c r="AE11"/>
  <c r="AH32"/>
  <c r="X32"/>
  <c r="AB32"/>
  <c r="T32"/>
  <c r="AB6"/>
  <c r="X6"/>
  <c r="T6"/>
  <c r="AH6"/>
  <c r="AK37"/>
  <c r="AE37"/>
  <c r="X44"/>
  <c r="T44"/>
  <c r="AB44"/>
  <c r="AH44"/>
  <c r="AC11"/>
  <c r="Y11"/>
  <c r="U11"/>
  <c r="AI11"/>
  <c r="AI44"/>
  <c r="U44"/>
  <c r="AC44"/>
  <c r="Y44"/>
  <c r="U22"/>
  <c r="AI22"/>
  <c r="AC22"/>
  <c r="Y22"/>
  <c r="AH10"/>
  <c r="X10"/>
  <c r="AB10"/>
  <c r="T10"/>
  <c r="AB29"/>
  <c r="AH29"/>
  <c r="X29"/>
  <c r="T29"/>
  <c r="AC36"/>
  <c r="Y36"/>
  <c r="AI36"/>
  <c r="U36"/>
  <c r="AB54"/>
  <c r="T54"/>
  <c r="AH54"/>
  <c r="X54"/>
  <c r="AJ14"/>
  <c r="AD14"/>
  <c r="T11"/>
  <c r="AH11"/>
  <c r="X11"/>
  <c r="AB11"/>
  <c r="AB25"/>
  <c r="X25"/>
  <c r="T25"/>
  <c r="AH25"/>
  <c r="D17" i="5"/>
  <c r="E17" s="1"/>
  <c r="L17"/>
  <c r="L18"/>
  <c r="N18" s="1"/>
  <c r="D18"/>
  <c r="N59" i="4"/>
  <c r="M9" i="5" s="1"/>
  <c r="N11" s="1"/>
  <c r="E31" i="8" l="1"/>
  <c r="F31" s="1"/>
  <c r="E44" i="6"/>
  <c r="F44" s="1"/>
  <c r="E25" i="8"/>
  <c r="F25" s="1"/>
  <c r="E26"/>
  <c r="F26" s="1"/>
  <c r="E62"/>
  <c r="F62" s="1"/>
  <c r="E55"/>
  <c r="F55" s="1"/>
  <c r="E33"/>
  <c r="F33" s="1"/>
  <c r="E73"/>
  <c r="F73" s="1"/>
  <c r="E70"/>
  <c r="F70" s="1"/>
  <c r="E27"/>
  <c r="F27" s="1"/>
  <c r="E22" i="6"/>
  <c r="F22" s="1"/>
  <c r="E20"/>
  <c r="F20" s="1"/>
  <c r="C30"/>
  <c r="E28"/>
  <c r="F28" s="1"/>
  <c r="E74" i="8"/>
  <c r="F74" s="1"/>
  <c r="E67"/>
  <c r="F67" s="1"/>
  <c r="E54"/>
  <c r="F54" s="1"/>
  <c r="D45" i="6"/>
  <c r="E21"/>
  <c r="F21" s="1"/>
  <c r="E14"/>
  <c r="F14" s="1"/>
  <c r="E13"/>
  <c r="F13" s="1"/>
  <c r="E30" i="8"/>
  <c r="F30" s="1"/>
  <c r="E42" i="6"/>
  <c r="E24" i="8"/>
  <c r="F24" s="1"/>
  <c r="E19"/>
  <c r="F19" s="1"/>
  <c r="E53"/>
  <c r="F53" s="1"/>
  <c r="E34"/>
  <c r="F34" s="1"/>
  <c r="E56"/>
  <c r="F56" s="1"/>
  <c r="E69"/>
  <c r="F69" s="1"/>
  <c r="E14"/>
  <c r="F14" s="1"/>
  <c r="E60"/>
  <c r="F60" s="1"/>
  <c r="E16"/>
  <c r="F16" s="1"/>
  <c r="E37" i="6"/>
  <c r="F37" s="1"/>
  <c r="E11"/>
  <c r="F11" s="1"/>
  <c r="E23"/>
  <c r="F23" s="1"/>
  <c r="D25"/>
  <c r="E29"/>
  <c r="F29" s="1"/>
  <c r="C25"/>
  <c r="E24"/>
  <c r="F24" s="1"/>
  <c r="E12"/>
  <c r="F12" s="1"/>
  <c r="D30"/>
  <c r="D16"/>
  <c r="E15"/>
  <c r="F15" s="1"/>
  <c r="AH57" i="4"/>
  <c r="M33" i="5" s="1"/>
  <c r="E31"/>
  <c r="D21" i="8"/>
  <c r="E71"/>
  <c r="F71" s="1"/>
  <c r="E57"/>
  <c r="F57" s="1"/>
  <c r="E58"/>
  <c r="F58" s="1"/>
  <c r="C75"/>
  <c r="D38"/>
  <c r="U57" i="4"/>
  <c r="E22" i="5" s="1"/>
  <c r="E25"/>
  <c r="M32"/>
  <c r="E35" i="8"/>
  <c r="F35" s="1"/>
  <c r="E29"/>
  <c r="F29" s="1"/>
  <c r="E17"/>
  <c r="F17" s="1"/>
  <c r="E12"/>
  <c r="F12" s="1"/>
  <c r="E43" i="6"/>
  <c r="F43" s="1"/>
  <c r="D38"/>
  <c r="D63" i="8"/>
  <c r="C21"/>
  <c r="N22" i="5" s="1"/>
  <c r="E20" i="8"/>
  <c r="F20" s="1"/>
  <c r="D75"/>
  <c r="C38" i="6"/>
  <c r="E24" i="5" s="1"/>
  <c r="E35" i="6"/>
  <c r="E61" i="8"/>
  <c r="F61" s="1"/>
  <c r="E36" i="6"/>
  <c r="F36" s="1"/>
  <c r="E59" i="8"/>
  <c r="F59" s="1"/>
  <c r="E36"/>
  <c r="F36" s="1"/>
  <c r="E18"/>
  <c r="F18" s="1"/>
  <c r="E32"/>
  <c r="F32" s="1"/>
  <c r="E72"/>
  <c r="F72" s="1"/>
  <c r="Y57" i="4"/>
  <c r="E23" i="5" s="1"/>
  <c r="M29"/>
  <c r="E30"/>
  <c r="E13" i="8"/>
  <c r="F13" s="1"/>
  <c r="AB57" i="4"/>
  <c r="E33" i="5" s="1"/>
  <c r="E32"/>
  <c r="M30"/>
  <c r="M31"/>
  <c r="E29"/>
  <c r="E37" i="8"/>
  <c r="F37" s="1"/>
  <c r="E28"/>
  <c r="F28" s="1"/>
  <c r="E68"/>
  <c r="F68" s="1"/>
  <c r="E15"/>
  <c r="F15" s="1"/>
  <c r="K19" i="5"/>
  <c r="E18"/>
  <c r="D19" s="1"/>
  <c r="G61" i="4"/>
  <c r="K9" i="5" s="1"/>
  <c r="K6" s="1"/>
  <c r="C63" i="8"/>
  <c r="N23" i="5" s="1"/>
  <c r="E45" i="6" l="1"/>
  <c r="F45" s="1"/>
  <c r="E38"/>
  <c r="F38" s="1"/>
  <c r="F35"/>
  <c r="F42"/>
  <c r="E25"/>
  <c r="F25" s="1"/>
  <c r="E30"/>
  <c r="F30" s="1"/>
  <c r="E63" i="8"/>
  <c r="F63" s="1"/>
  <c r="E38"/>
  <c r="E75"/>
  <c r="F75" s="1"/>
  <c r="E21"/>
  <c r="F21" s="1"/>
  <c r="G18" i="5"/>
  <c r="C38" i="8"/>
  <c r="N24" i="5" s="1"/>
  <c r="C16" i="6"/>
  <c r="E10"/>
  <c r="E16" s="1"/>
  <c r="F16" l="1"/>
  <c r="F38" i="8"/>
  <c r="F10" i="6"/>
  <c r="G17" i="5"/>
  <c r="N17"/>
</calcChain>
</file>

<file path=xl/sharedStrings.xml><?xml version="1.0" encoding="utf-8"?>
<sst xmlns="http://schemas.openxmlformats.org/spreadsheetml/2006/main" count="3547" uniqueCount="223">
  <si>
    <t>b</t>
  </si>
  <si>
    <t>c</t>
  </si>
  <si>
    <t>a</t>
  </si>
  <si>
    <t>d</t>
  </si>
  <si>
    <t>Reading</t>
  </si>
  <si>
    <t>Writing</t>
  </si>
  <si>
    <t>4&lt;=x&lt;=6</t>
  </si>
  <si>
    <t>Test</t>
  </si>
  <si>
    <t>PT 1</t>
  </si>
  <si>
    <t>PT 2</t>
  </si>
  <si>
    <t>PT 3</t>
  </si>
  <si>
    <t>PT 4</t>
  </si>
  <si>
    <t>Practice Tests</t>
  </si>
  <si>
    <t>Section 1 - Reading</t>
  </si>
  <si>
    <t>Section 2 - Writing</t>
  </si>
  <si>
    <t>Section 3 - Math (No Calc)</t>
  </si>
  <si>
    <t xml:space="preserve">Section 4 - Math (Calc) </t>
  </si>
  <si>
    <t>Section 1 Check</t>
  </si>
  <si>
    <t>Total:</t>
  </si>
  <si>
    <t>Question</t>
  </si>
  <si>
    <t>Key</t>
  </si>
  <si>
    <t>Section 2 Check</t>
  </si>
  <si>
    <t>Section 3 Check</t>
  </si>
  <si>
    <t>Section 4 Check</t>
  </si>
  <si>
    <t>7</t>
  </si>
  <si>
    <t>Special Answers</t>
  </si>
  <si>
    <t>PT 2 #16</t>
  </si>
  <si>
    <t>PT 3 #16</t>
  </si>
  <si>
    <t>PT 3 # 31</t>
  </si>
  <si>
    <t>PT 4 # 36</t>
  </si>
  <si>
    <t>Math 1</t>
  </si>
  <si>
    <t>Math 2</t>
  </si>
  <si>
    <t>Student</t>
  </si>
  <si>
    <t>Date</t>
  </si>
  <si>
    <t>Name</t>
  </si>
  <si>
    <t>Total Score</t>
  </si>
  <si>
    <t>Reading and Writing</t>
  </si>
  <si>
    <t>Math</t>
  </si>
  <si>
    <t>Essay</t>
  </si>
  <si>
    <t>Analysis</t>
  </si>
  <si>
    <t>Information and Ideas</t>
  </si>
  <si>
    <t>Reading Closely</t>
  </si>
  <si>
    <t>Citing Evidence</t>
  </si>
  <si>
    <t>Determining Central Ideas and Themes</t>
  </si>
  <si>
    <t>Summarizing</t>
  </si>
  <si>
    <t>Understanding Relationships</t>
  </si>
  <si>
    <t>Interpreting Words and Phrases in Context</t>
  </si>
  <si>
    <t>Correct</t>
  </si>
  <si>
    <t>Incorrect</t>
  </si>
  <si>
    <t>Blank</t>
  </si>
  <si>
    <t>Accuracy</t>
  </si>
  <si>
    <t>Total</t>
  </si>
  <si>
    <t>Rhetoric</t>
  </si>
  <si>
    <t>Analyzing Word Choice</t>
  </si>
  <si>
    <t>Analyzing Text Structure</t>
  </si>
  <si>
    <t>Analyzing Point of View</t>
  </si>
  <si>
    <t>Analyzing Purpose</t>
  </si>
  <si>
    <t>Analyzing Arguments</t>
  </si>
  <si>
    <t>Synthesis</t>
  </si>
  <si>
    <t>Analyzing Multiple Texts</t>
  </si>
  <si>
    <t>Analyzing Quantitative Information</t>
  </si>
  <si>
    <t>Expression of Ideas</t>
  </si>
  <si>
    <t>Development</t>
  </si>
  <si>
    <t>Organization</t>
  </si>
  <si>
    <t>Effective Language Use</t>
  </si>
  <si>
    <t>Standard English Conventions</t>
  </si>
  <si>
    <t>Sentence Structure</t>
  </si>
  <si>
    <t>Conventions of Usage</t>
  </si>
  <si>
    <t>Punctuation</t>
  </si>
  <si>
    <t xml:space="preserve">Correct </t>
  </si>
  <si>
    <t>Writing and Language</t>
  </si>
  <si>
    <t>Heart of Algebra</t>
  </si>
  <si>
    <t>Solving Linear Equations</t>
  </si>
  <si>
    <t>Interpreting Linear Functions</t>
  </si>
  <si>
    <t>Linear Equation Word Problems</t>
  </si>
  <si>
    <t>Linear Inequality Word Problems</t>
  </si>
  <si>
    <t>Graphing Linear Equations</t>
  </si>
  <si>
    <t>Linear Function Word Problems</t>
  </si>
  <si>
    <t>Systems of Linear Inequalities Word Problems</t>
  </si>
  <si>
    <t>Solving Systems of Linear Equations</t>
  </si>
  <si>
    <t>Systems of Linear Equations Word Problems</t>
  </si>
  <si>
    <t>Passport to Advanced Mathematics</t>
  </si>
  <si>
    <t>Solving Quadratic Equations</t>
  </si>
  <si>
    <t>Interpreting non-linear expressions</t>
  </si>
  <si>
    <t>Quadratic and exponential word problems</t>
  </si>
  <si>
    <t>Manipulating quadratic and exponential expressions</t>
  </si>
  <si>
    <t>Radicals and rational exponents</t>
  </si>
  <si>
    <t>Radical and rational equations</t>
  </si>
  <si>
    <t>Operations with radical expressions</t>
  </si>
  <si>
    <t>Operations with polynomials</t>
  </si>
  <si>
    <t>Polynomial factors and graphs</t>
  </si>
  <si>
    <t>Nonlinear equation graphs</t>
  </si>
  <si>
    <t>Linear and quadratic systems</t>
  </si>
  <si>
    <t>Structure in expressions</t>
  </si>
  <si>
    <t>Isolating Quantities</t>
  </si>
  <si>
    <t>Function Notation</t>
  </si>
  <si>
    <t>Problem Solving and Data Analysis</t>
  </si>
  <si>
    <t>Ratios, rates, and proportions</t>
  </si>
  <si>
    <t>Percents</t>
  </si>
  <si>
    <t>Units</t>
  </si>
  <si>
    <t>Table data</t>
  </si>
  <si>
    <t>Scatterplots</t>
  </si>
  <si>
    <t>Key features of graphs</t>
  </si>
  <si>
    <t>Linear and exponential growth</t>
  </si>
  <si>
    <t>Data inferences</t>
  </si>
  <si>
    <t>Center, spread, and shape of distributions</t>
  </si>
  <si>
    <t>Data collection and conclusions</t>
  </si>
  <si>
    <t>Additional Topics in Math</t>
  </si>
  <si>
    <t>Volume word problems</t>
  </si>
  <si>
    <t>Right triangle word problems</t>
  </si>
  <si>
    <t>Congruence and similarity</t>
  </si>
  <si>
    <t>Right triangle trigonometry</t>
  </si>
  <si>
    <t>Angles, arc length, and trig functions</t>
  </si>
  <si>
    <t>Circle theorems</t>
  </si>
  <si>
    <t>Circle equations</t>
  </si>
  <si>
    <t>Complex numbers</t>
  </si>
  <si>
    <t xml:space="preserve">                            Math</t>
  </si>
  <si>
    <t>Section 1</t>
  </si>
  <si>
    <t>Category</t>
  </si>
  <si>
    <t>Skill</t>
  </si>
  <si>
    <t>Section 2</t>
  </si>
  <si>
    <t>Section 3</t>
  </si>
  <si>
    <t>Section 4</t>
  </si>
  <si>
    <t xml:space="preserve"> </t>
  </si>
  <si>
    <t>Incorrect/Blank</t>
  </si>
  <si>
    <t>Skill Tallies</t>
  </si>
  <si>
    <t>Raw Score</t>
  </si>
  <si>
    <t># of Questions</t>
  </si>
  <si>
    <t>Student Answer</t>
  </si>
  <si>
    <t>Correct Answer</t>
  </si>
  <si>
    <t>Section 2 - Writing and Language</t>
  </si>
  <si>
    <t>Section 3 - Math (No Calculator)</t>
  </si>
  <si>
    <t>Section 4 - Math (Calculator)</t>
  </si>
  <si>
    <t>Math Section Score</t>
  </si>
  <si>
    <t>Reading Test Score</t>
  </si>
  <si>
    <t>Writing and Language Test Score</t>
  </si>
  <si>
    <t>Writing Test Score</t>
  </si>
  <si>
    <t>Reading and Writing Test Score</t>
  </si>
  <si>
    <t>Math Section Raw Score</t>
  </si>
  <si>
    <t>Words in Context</t>
  </si>
  <si>
    <t>Command of Evidence</t>
  </si>
  <si>
    <t>Passport to Advanced math</t>
  </si>
  <si>
    <t>Passport to Advanced Math</t>
  </si>
  <si>
    <t>History</t>
  </si>
  <si>
    <t>Science</t>
  </si>
  <si>
    <t>Math (No Calc)</t>
  </si>
  <si>
    <t>Math (Calc)</t>
  </si>
  <si>
    <t>Math(No Calc)</t>
  </si>
  <si>
    <t>Science Cross-Test Score</t>
  </si>
  <si>
    <t>History Cross-Test Score</t>
  </si>
  <si>
    <t>Subscore</t>
  </si>
  <si>
    <t>Cross-Test</t>
  </si>
  <si>
    <t>Subscores (out of 15)</t>
  </si>
  <si>
    <t>Cross-Test Scores (out of 40)</t>
  </si>
  <si>
    <t>Grade</t>
  </si>
  <si>
    <t xml:space="preserve">Reading </t>
  </si>
  <si>
    <t>%</t>
  </si>
  <si>
    <t>#</t>
  </si>
  <si>
    <t>SAT Reading and Writing Skills</t>
  </si>
  <si>
    <t>Date Completed</t>
  </si>
  <si>
    <t>Reading Strategies</t>
  </si>
  <si>
    <t>Approaching Passages</t>
  </si>
  <si>
    <t>Annotation</t>
  </si>
  <si>
    <t>Staying Focused</t>
  </si>
  <si>
    <t>Determining Explicit Meanings</t>
  </si>
  <si>
    <t>Determining Implicit Meanings</t>
  </si>
  <si>
    <t>Using Analogical Reasoning</t>
  </si>
  <si>
    <t>Analyzing Overall Text Structure</t>
  </si>
  <si>
    <t>Analyzing Part-Whole Relationships</t>
  </si>
  <si>
    <t>Analyzing Claims and Coutnerclaims</t>
  </si>
  <si>
    <t>Assessing Reasoning</t>
  </si>
  <si>
    <t>Analyzing Evidence</t>
  </si>
  <si>
    <t>Proposition</t>
  </si>
  <si>
    <t>Support</t>
  </si>
  <si>
    <t xml:space="preserve">Focus </t>
  </si>
  <si>
    <t>Quantitative Information</t>
  </si>
  <si>
    <t>Logical Sequence</t>
  </si>
  <si>
    <t>Introductions, Conclusions, and Transitions</t>
  </si>
  <si>
    <t>Precision</t>
  </si>
  <si>
    <t>Concision</t>
  </si>
  <si>
    <t>Style and Tone</t>
  </si>
  <si>
    <t>Syntax</t>
  </si>
  <si>
    <t>Sentence Formation</t>
  </si>
  <si>
    <t>Sentence Boundaries</t>
  </si>
  <si>
    <t>Subordination and Coordination</t>
  </si>
  <si>
    <t>Parallel Structure</t>
  </si>
  <si>
    <t>Modifier Placement</t>
  </si>
  <si>
    <t>Inappropriate Shifts in Construction</t>
  </si>
  <si>
    <t>Verb Tense, Mood, and Voice</t>
  </si>
  <si>
    <t>Pronoun Person and Number</t>
  </si>
  <si>
    <t>Pronouns</t>
  </si>
  <si>
    <t>Pronoun Clarity</t>
  </si>
  <si>
    <t>Possessive Determiners</t>
  </si>
  <si>
    <t>Agreement</t>
  </si>
  <si>
    <t>Pronoun-Antecedent Agreement</t>
  </si>
  <si>
    <t>Subject-Verb Agreement</t>
  </si>
  <si>
    <t>Noun Agreement</t>
  </si>
  <si>
    <t>Frequently Confused Words</t>
  </si>
  <si>
    <t>Logical Comparison</t>
  </si>
  <si>
    <t>Conventional Expression</t>
  </si>
  <si>
    <t>Conventions of Punctuation</t>
  </si>
  <si>
    <t>End-of-Sentence Punctuation</t>
  </si>
  <si>
    <t>Within-Sentence Punctuation</t>
  </si>
  <si>
    <t>Possessive Nouns and Pronouns</t>
  </si>
  <si>
    <t>Items in a Series</t>
  </si>
  <si>
    <t>Nonrestrictive and Parenthetical Elements</t>
  </si>
  <si>
    <t>Unnecessary Punctuation</t>
  </si>
  <si>
    <t>SAT Math Skills</t>
  </si>
  <si>
    <t>General Strategies</t>
  </si>
  <si>
    <t>Process of Elimination</t>
  </si>
  <si>
    <t>Plugging in Answers</t>
  </si>
  <si>
    <t>Choosing Numbers</t>
  </si>
  <si>
    <t>Guess and Check</t>
  </si>
  <si>
    <t>PT 5</t>
  </si>
  <si>
    <t>PT 6</t>
  </si>
  <si>
    <t>PT 5 # 37</t>
  </si>
  <si>
    <t>87/2</t>
  </si>
  <si>
    <t>PT 6 #16</t>
  </si>
  <si>
    <t>PT 6 #33</t>
  </si>
  <si>
    <t>Reading Test</t>
  </si>
  <si>
    <t>Writing Test</t>
  </si>
  <si>
    <t>Math Test</t>
  </si>
  <si>
    <t>History/Social Studies</t>
  </si>
</sst>
</file>

<file path=xl/styles.xml><?xml version="1.0" encoding="utf-8"?>
<styleSheet xmlns="http://schemas.openxmlformats.org/spreadsheetml/2006/main">
  <fonts count="2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b/>
      <sz val="2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theme="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indexed="64"/>
      </patternFill>
    </fill>
  </fills>
  <borders count="8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 style="thin">
        <color theme="4" tint="0.39997558519241921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theme="4" tint="-0.24994659260841701"/>
      </left>
      <right/>
      <top style="medium">
        <color theme="4" tint="-0.24994659260841701"/>
      </top>
      <bottom/>
      <diagonal/>
    </border>
    <border>
      <left/>
      <right/>
      <top style="medium">
        <color theme="4" tint="-0.24994659260841701"/>
      </top>
      <bottom/>
      <diagonal/>
    </border>
    <border>
      <left style="medium">
        <color theme="4" tint="-0.24994659260841701"/>
      </left>
      <right/>
      <top/>
      <bottom/>
      <diagonal/>
    </border>
    <border>
      <left style="medium">
        <color theme="4" tint="-0.24994659260841701"/>
      </left>
      <right/>
      <top/>
      <bottom style="medium">
        <color theme="4" tint="-0.24994659260841701"/>
      </bottom>
      <diagonal/>
    </border>
    <border>
      <left/>
      <right/>
      <top/>
      <bottom style="medium">
        <color theme="4" tint="-0.2499465926084170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theme="4" tint="-0.2499465926084170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 style="medium">
        <color theme="4" tint="-0.24994659260841701"/>
      </right>
      <top style="medium">
        <color theme="4" tint="-0.24994659260841701"/>
      </top>
      <bottom/>
      <diagonal/>
    </border>
    <border>
      <left/>
      <right style="medium">
        <color theme="4" tint="-0.24994659260841701"/>
      </right>
      <top/>
      <bottom/>
      <diagonal/>
    </border>
    <border>
      <left/>
      <right style="medium">
        <color theme="4" tint="-0.24994659260841701"/>
      </right>
      <top/>
      <bottom style="medium">
        <color theme="4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medium">
        <color indexed="64"/>
      </left>
      <right/>
      <top style="thin">
        <color theme="4" tint="0.39997558519241921"/>
      </top>
      <bottom/>
      <diagonal/>
    </border>
    <border>
      <left style="medium">
        <color indexed="64"/>
      </left>
      <right/>
      <top style="thin">
        <color theme="4" tint="0.39997558519241921"/>
      </top>
      <bottom style="medium">
        <color indexed="64"/>
      </bottom>
      <diagonal/>
    </border>
    <border>
      <left style="medium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theme="4" tint="-0.24994659260841701"/>
      </right>
      <top/>
      <bottom style="medium">
        <color indexed="64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390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1" fillId="2" borderId="1" xfId="0" applyFont="1" applyFill="1" applyBorder="1" applyAlignment="1">
      <alignment horizontal="center" vertical="center" wrapText="1"/>
    </xf>
    <xf numFmtId="0" fontId="0" fillId="2" borderId="8" xfId="0" applyFill="1" applyBorder="1" applyAlignment="1">
      <alignment horizontal="center"/>
    </xf>
    <xf numFmtId="0" fontId="2" fillId="0" borderId="0" xfId="0" applyFont="1"/>
    <xf numFmtId="0" fontId="0" fillId="0" borderId="7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/>
    </xf>
    <xf numFmtId="16" fontId="0" fillId="0" borderId="0" xfId="0" quotePrefix="1" applyNumberFormat="1" applyBorder="1" applyAlignment="1">
      <alignment horizontal="center"/>
    </xf>
    <xf numFmtId="0" fontId="0" fillId="0" borderId="0" xfId="0" quotePrefix="1" applyBorder="1" applyAlignment="1">
      <alignment horizontal="center"/>
    </xf>
    <xf numFmtId="0" fontId="0" fillId="3" borderId="0" xfId="0" applyFont="1" applyFill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0" xfId="0" applyBorder="1"/>
    <xf numFmtId="0" fontId="1" fillId="0" borderId="9" xfId="0" applyFont="1" applyBorder="1" applyAlignment="1"/>
    <xf numFmtId="0" fontId="0" fillId="0" borderId="0" xfId="0" applyAlignment="1"/>
    <xf numFmtId="0" fontId="0" fillId="0" borderId="2" xfId="0" applyBorder="1" applyAlignment="1"/>
    <xf numFmtId="0" fontId="0" fillId="0" borderId="10" xfId="0" applyBorder="1" applyAlignment="1"/>
    <xf numFmtId="0" fontId="0" fillId="0" borderId="3" xfId="0" applyBorder="1" applyAlignment="1"/>
    <xf numFmtId="0" fontId="1" fillId="0" borderId="9" xfId="0" applyFont="1" applyFill="1" applyBorder="1" applyAlignment="1"/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3" borderId="13" xfId="0" applyFont="1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3" borderId="14" xfId="0" applyFont="1" applyFill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0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12" fontId="0" fillId="0" borderId="7" xfId="0" quotePrefix="1" applyNumberFormat="1" applyBorder="1" applyAlignment="1" applyProtection="1">
      <alignment horizontal="left"/>
      <protection locked="0"/>
    </xf>
    <xf numFmtId="12" fontId="0" fillId="0" borderId="4" xfId="0" applyNumberFormat="1" applyBorder="1" applyAlignment="1" applyProtection="1">
      <alignment horizontal="left"/>
      <protection locked="0"/>
    </xf>
    <xf numFmtId="12" fontId="0" fillId="0" borderId="7" xfId="0" applyNumberFormat="1" applyBorder="1" applyAlignment="1" applyProtection="1">
      <alignment horizontal="left"/>
      <protection locked="0"/>
    </xf>
    <xf numFmtId="12" fontId="0" fillId="0" borderId="0" xfId="0" applyNumberFormat="1" applyBorder="1"/>
    <xf numFmtId="2" fontId="0" fillId="0" borderId="0" xfId="0" quotePrefix="1" applyNumberFormat="1" applyBorder="1" applyAlignment="1">
      <alignment horizontal="center"/>
    </xf>
    <xf numFmtId="12" fontId="0" fillId="0" borderId="0" xfId="0" applyNumberFormat="1" applyBorder="1" applyAlignment="1">
      <alignment horizontal="center"/>
    </xf>
    <xf numFmtId="12" fontId="0" fillId="0" borderId="0" xfId="0" quotePrefix="1" applyNumberFormat="1" applyBorder="1" applyAlignment="1">
      <alignment horizontal="center"/>
    </xf>
    <xf numFmtId="0" fontId="0" fillId="0" borderId="0" xfId="0" applyFont="1"/>
    <xf numFmtId="0" fontId="4" fillId="5" borderId="9" xfId="0" applyFont="1" applyFill="1" applyBorder="1" applyAlignment="1">
      <alignment horizontal="center"/>
    </xf>
    <xf numFmtId="0" fontId="0" fillId="5" borderId="0" xfId="0" applyFill="1" applyBorder="1"/>
    <xf numFmtId="0" fontId="1" fillId="5" borderId="0" xfId="0" applyFont="1" applyFill="1" applyBorder="1"/>
    <xf numFmtId="0" fontId="1" fillId="5" borderId="0" xfId="0" applyFont="1" applyFill="1" applyBorder="1" applyAlignment="1">
      <alignment horizontal="center"/>
    </xf>
    <xf numFmtId="0" fontId="0" fillId="5" borderId="22" xfId="0" applyFill="1" applyBorder="1"/>
    <xf numFmtId="0" fontId="0" fillId="5" borderId="23" xfId="0" applyFill="1" applyBorder="1"/>
    <xf numFmtId="0" fontId="1" fillId="5" borderId="24" xfId="0" applyFont="1" applyFill="1" applyBorder="1"/>
    <xf numFmtId="0" fontId="0" fillId="5" borderId="24" xfId="0" applyFill="1" applyBorder="1"/>
    <xf numFmtId="0" fontId="0" fillId="5" borderId="25" xfId="0" applyFill="1" applyBorder="1"/>
    <xf numFmtId="0" fontId="0" fillId="5" borderId="26" xfId="0" applyFill="1" applyBorder="1"/>
    <xf numFmtId="0" fontId="0" fillId="0" borderId="0" xfId="0" applyFill="1" applyBorder="1"/>
    <xf numFmtId="0" fontId="0" fillId="0" borderId="0" xfId="0" applyFill="1"/>
    <xf numFmtId="0" fontId="8" fillId="0" borderId="28" xfId="0" applyFont="1" applyBorder="1" applyAlignment="1">
      <alignment horizontal="left" vertical="center" wrapText="1"/>
    </xf>
    <xf numFmtId="0" fontId="0" fillId="0" borderId="28" xfId="0" applyFont="1" applyBorder="1" applyAlignment="1">
      <alignment horizontal="left" vertical="center" wrapText="1"/>
    </xf>
    <xf numFmtId="0" fontId="6" fillId="6" borderId="28" xfId="0" applyFont="1" applyFill="1" applyBorder="1" applyAlignment="1">
      <alignment horizontal="center" vertical="center" wrapText="1"/>
    </xf>
    <xf numFmtId="0" fontId="0" fillId="0" borderId="28" xfId="0" applyFont="1" applyFill="1" applyBorder="1" applyAlignment="1">
      <alignment horizontal="left" vertical="center" wrapText="1"/>
    </xf>
    <xf numFmtId="0" fontId="8" fillId="0" borderId="28" xfId="0" applyFont="1" applyFill="1" applyBorder="1" applyAlignment="1">
      <alignment horizontal="left" vertical="center" wrapText="1"/>
    </xf>
    <xf numFmtId="0" fontId="10" fillId="0" borderId="0" xfId="0" applyFont="1" applyAlignment="1"/>
    <xf numFmtId="0" fontId="0" fillId="0" borderId="23" xfId="0" applyBorder="1"/>
    <xf numFmtId="9" fontId="0" fillId="0" borderId="0" xfId="1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horizontal="center" vertical="center"/>
    </xf>
    <xf numFmtId="9" fontId="1" fillId="0" borderId="0" xfId="1" applyFont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vertical="center" wrapText="1"/>
    </xf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0" fillId="0" borderId="0" xfId="0" applyFill="1" applyAlignment="1">
      <alignment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0" borderId="0" xfId="0"/>
    <xf numFmtId="0" fontId="0" fillId="2" borderId="8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1" fillId="0" borderId="0" xfId="0" applyFont="1"/>
    <xf numFmtId="0" fontId="1" fillId="0" borderId="0" xfId="0" applyFont="1" applyAlignment="1">
      <alignment wrapText="1"/>
    </xf>
    <xf numFmtId="0" fontId="0" fillId="0" borderId="0" xfId="0" applyAlignment="1">
      <alignment wrapText="1"/>
    </xf>
    <xf numFmtId="0" fontId="11" fillId="0" borderId="0" xfId="0" applyFont="1" applyAlignment="1">
      <alignment horizontal="left" vertical="center" indent="5"/>
    </xf>
    <xf numFmtId="0" fontId="1" fillId="0" borderId="0" xfId="0" applyFont="1" applyBorder="1"/>
    <xf numFmtId="0" fontId="0" fillId="0" borderId="0" xfId="0" applyBorder="1"/>
    <xf numFmtId="0" fontId="11" fillId="0" borderId="0" xfId="0" applyFont="1" applyBorder="1" applyAlignment="1">
      <alignment horizontal="left" vertical="center" indent="5"/>
    </xf>
    <xf numFmtId="0" fontId="8" fillId="0" borderId="0" xfId="0" applyFont="1" applyBorder="1"/>
    <xf numFmtId="0" fontId="8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0" xfId="0" applyFont="1" applyBorder="1" applyAlignment="1">
      <alignment horizontal="center" vertical="center" wrapText="1"/>
    </xf>
    <xf numFmtId="0" fontId="0" fillId="0" borderId="0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8" fillId="0" borderId="0" xfId="0" applyFont="1" applyFill="1" applyBorder="1" applyAlignment="1">
      <alignment horizontal="center" vertical="center" wrapText="1"/>
    </xf>
    <xf numFmtId="0" fontId="1" fillId="3" borderId="30" xfId="0" applyFont="1" applyFill="1" applyBorder="1" applyAlignment="1">
      <alignment horizontal="left" vertical="center" wrapText="1"/>
    </xf>
    <xf numFmtId="0" fontId="0" fillId="0" borderId="29" xfId="0" applyFont="1" applyFill="1" applyBorder="1" applyAlignment="1">
      <alignment horizontal="left" vertical="center" wrapText="1"/>
    </xf>
    <xf numFmtId="0" fontId="0" fillId="0" borderId="9" xfId="0" applyBorder="1" applyAlignment="1">
      <alignment horizontal="center" vertical="center"/>
    </xf>
    <xf numFmtId="9" fontId="0" fillId="0" borderId="9" xfId="1" applyFont="1" applyBorder="1" applyAlignment="1">
      <alignment horizontal="center" vertical="center"/>
    </xf>
    <xf numFmtId="0" fontId="0" fillId="0" borderId="29" xfId="0" applyFont="1" applyBorder="1" applyAlignment="1">
      <alignment horizontal="left" vertical="center" wrapText="1"/>
    </xf>
    <xf numFmtId="0" fontId="0" fillId="0" borderId="9" xfId="0" applyBorder="1" applyAlignment="1">
      <alignment horizontal="left" vertical="center" wrapText="1"/>
    </xf>
    <xf numFmtId="0" fontId="0" fillId="0" borderId="9" xfId="0" applyBorder="1" applyAlignment="1">
      <alignment vertical="center" wrapText="1"/>
    </xf>
    <xf numFmtId="0" fontId="7" fillId="0" borderId="0" xfId="0" applyFont="1" applyBorder="1" applyAlignment="1">
      <alignment horizontal="center"/>
    </xf>
    <xf numFmtId="9" fontId="0" fillId="0" borderId="0" xfId="1" applyFont="1" applyBorder="1" applyAlignment="1">
      <alignment horizontal="center" vertical="center"/>
    </xf>
    <xf numFmtId="0" fontId="10" fillId="0" borderId="0" xfId="0" applyFont="1" applyBorder="1" applyAlignme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8" fillId="0" borderId="29" xfId="0" applyFont="1" applyBorder="1" applyAlignment="1">
      <alignment horizontal="left" vertical="center" wrapText="1"/>
    </xf>
    <xf numFmtId="0" fontId="8" fillId="0" borderId="29" xfId="0" applyFont="1" applyFill="1" applyBorder="1" applyAlignment="1">
      <alignment horizontal="left" vertical="center" wrapText="1"/>
    </xf>
    <xf numFmtId="0" fontId="9" fillId="0" borderId="30" xfId="0" applyFont="1" applyBorder="1" applyAlignment="1">
      <alignment horizontal="left" vertical="center" wrapText="1"/>
    </xf>
    <xf numFmtId="0" fontId="0" fillId="7" borderId="0" xfId="0" applyFill="1" applyAlignment="1">
      <alignment horizontal="center" vertical="center" wrapText="1"/>
    </xf>
    <xf numFmtId="0" fontId="1" fillId="7" borderId="0" xfId="0" applyFont="1" applyFill="1" applyBorder="1" applyAlignment="1">
      <alignment horizontal="center" vertical="center" wrapText="1"/>
    </xf>
    <xf numFmtId="0" fontId="3" fillId="5" borderId="33" xfId="0" applyFont="1" applyFill="1" applyBorder="1" applyAlignment="1">
      <alignment horizontal="center"/>
    </xf>
    <xf numFmtId="0" fontId="3" fillId="5" borderId="34" xfId="0" applyFont="1" applyFill="1" applyBorder="1" applyAlignment="1">
      <alignment horizontal="center"/>
    </xf>
    <xf numFmtId="0" fontId="0" fillId="5" borderId="34" xfId="0" applyFill="1" applyBorder="1"/>
    <xf numFmtId="0" fontId="4" fillId="5" borderId="34" xfId="0" applyFont="1" applyFill="1" applyBorder="1" applyAlignment="1">
      <alignment horizontal="center"/>
    </xf>
    <xf numFmtId="0" fontId="1" fillId="5" borderId="34" xfId="0" applyFont="1" applyFill="1" applyBorder="1" applyAlignment="1">
      <alignment horizontal="center"/>
    </xf>
    <xf numFmtId="0" fontId="0" fillId="5" borderId="35" xfId="0" applyFill="1" applyBorder="1"/>
    <xf numFmtId="0" fontId="13" fillId="0" borderId="0" xfId="0" applyFont="1" applyAlignment="1">
      <alignment horizontal="center" vertical="center" wrapText="1"/>
    </xf>
    <xf numFmtId="0" fontId="13" fillId="0" borderId="0" xfId="0" applyFont="1" applyAlignment="1">
      <alignment horizontal="center"/>
    </xf>
    <xf numFmtId="0" fontId="13" fillId="0" borderId="0" xfId="0" applyNumberFormat="1" applyFont="1" applyAlignment="1">
      <alignment horizontal="center"/>
    </xf>
    <xf numFmtId="0" fontId="14" fillId="8" borderId="31" xfId="0" applyFont="1" applyFill="1" applyBorder="1" applyAlignment="1">
      <alignment horizontal="center" vertical="center" wrapText="1"/>
    </xf>
    <xf numFmtId="0" fontId="14" fillId="8" borderId="30" xfId="0" applyFont="1" applyFill="1" applyBorder="1" applyAlignment="1">
      <alignment horizontal="center" vertical="center" wrapText="1"/>
    </xf>
    <xf numFmtId="0" fontId="14" fillId="8" borderId="32" xfId="0" applyFont="1" applyFill="1" applyBorder="1" applyAlignment="1">
      <alignment horizontal="center" vertical="center" wrapText="1"/>
    </xf>
    <xf numFmtId="0" fontId="13" fillId="0" borderId="0" xfId="0" applyFont="1" applyAlignment="1">
      <alignment horizontal="center" vertical="center"/>
    </xf>
    <xf numFmtId="0" fontId="0" fillId="0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3" fillId="0" borderId="0" xfId="0" applyFont="1" applyAlignment="1">
      <alignment horizontal="center"/>
    </xf>
    <xf numFmtId="0" fontId="0" fillId="0" borderId="41" xfId="0" applyBorder="1"/>
    <xf numFmtId="0" fontId="0" fillId="0" borderId="28" xfId="0" applyFont="1" applyBorder="1" applyAlignment="1">
      <alignment horizontal="center" vertical="center" wrapText="1"/>
    </xf>
    <xf numFmtId="0" fontId="0" fillId="0" borderId="38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2" borderId="8" xfId="0" applyFill="1" applyBorder="1" applyAlignment="1">
      <alignment horizontal="center" vertical="center"/>
    </xf>
    <xf numFmtId="0" fontId="0" fillId="0" borderId="0" xfId="0" applyNumberFormat="1" applyAlignment="1">
      <alignment horizontal="center" vertical="center" wrapText="1"/>
    </xf>
    <xf numFmtId="0" fontId="0" fillId="3" borderId="37" xfId="0" applyFont="1" applyFill="1" applyBorder="1" applyAlignment="1">
      <alignment horizontal="center" vertical="center"/>
    </xf>
    <xf numFmtId="0" fontId="0" fillId="0" borderId="37" xfId="0" applyFont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0" fillId="0" borderId="42" xfId="0" applyFill="1" applyBorder="1"/>
    <xf numFmtId="0" fontId="0" fillId="0" borderId="1" xfId="0" applyBorder="1" applyAlignment="1">
      <alignment horizontal="center" vertical="center"/>
    </xf>
    <xf numFmtId="0" fontId="0" fillId="0" borderId="41" xfId="0" applyFill="1" applyBorder="1"/>
    <xf numFmtId="0" fontId="6" fillId="8" borderId="50" xfId="0" applyFont="1" applyFill="1" applyBorder="1" applyAlignment="1">
      <alignment horizontal="center" vertical="center"/>
    </xf>
    <xf numFmtId="0" fontId="6" fillId="8" borderId="45" xfId="0" applyFont="1" applyFill="1" applyBorder="1" applyAlignment="1">
      <alignment horizontal="center" vertical="center" wrapText="1"/>
    </xf>
    <xf numFmtId="0" fontId="6" fillId="8" borderId="51" xfId="0" applyFont="1" applyFill="1" applyBorder="1" applyAlignment="1">
      <alignment horizontal="center" vertical="center" wrapText="1"/>
    </xf>
    <xf numFmtId="0" fontId="0" fillId="2" borderId="52" xfId="0" applyFont="1" applyFill="1" applyBorder="1" applyAlignment="1">
      <alignment horizontal="center" vertical="center"/>
    </xf>
    <xf numFmtId="0" fontId="0" fillId="3" borderId="52" xfId="0" applyFont="1" applyFill="1" applyBorder="1" applyAlignment="1">
      <alignment horizontal="center" vertical="center" wrapText="1"/>
    </xf>
    <xf numFmtId="0" fontId="0" fillId="3" borderId="45" xfId="0" applyFont="1" applyFill="1" applyBorder="1" applyAlignment="1">
      <alignment horizontal="center" vertical="center" wrapText="1"/>
    </xf>
    <xf numFmtId="0" fontId="0" fillId="3" borderId="51" xfId="0" applyFont="1" applyFill="1" applyBorder="1" applyAlignment="1">
      <alignment horizontal="center" vertical="center" wrapText="1"/>
    </xf>
    <xf numFmtId="0" fontId="0" fillId="0" borderId="52" xfId="0" applyFont="1" applyBorder="1" applyAlignment="1">
      <alignment horizontal="center" vertical="center" wrapText="1"/>
    </xf>
    <xf numFmtId="0" fontId="0" fillId="0" borderId="45" xfId="0" applyFont="1" applyBorder="1" applyAlignment="1">
      <alignment horizontal="center" vertical="center" wrapText="1"/>
    </xf>
    <xf numFmtId="0" fontId="0" fillId="0" borderId="51" xfId="0" applyFont="1" applyBorder="1" applyAlignment="1">
      <alignment horizontal="center" vertical="center" wrapText="1"/>
    </xf>
    <xf numFmtId="0" fontId="0" fillId="2" borderId="53" xfId="0" applyFont="1" applyFill="1" applyBorder="1" applyAlignment="1">
      <alignment horizontal="center" vertical="center"/>
    </xf>
    <xf numFmtId="0" fontId="0" fillId="0" borderId="54" xfId="0" applyFont="1" applyBorder="1" applyAlignment="1">
      <alignment horizontal="center" vertical="center" wrapText="1"/>
    </xf>
    <xf numFmtId="0" fontId="6" fillId="8" borderId="0" xfId="0" applyFont="1" applyFill="1" applyBorder="1" applyAlignment="1">
      <alignment horizontal="center" vertical="center" wrapText="1"/>
    </xf>
    <xf numFmtId="0" fontId="0" fillId="3" borderId="0" xfId="0" applyFont="1" applyFill="1" applyBorder="1" applyAlignment="1">
      <alignment horizontal="center" vertical="center" wrapText="1"/>
    </xf>
    <xf numFmtId="0" fontId="0" fillId="0" borderId="0" xfId="0" applyNumberFormat="1" applyAlignment="1">
      <alignment horizontal="center" vertical="center"/>
    </xf>
    <xf numFmtId="0" fontId="1" fillId="3" borderId="16" xfId="0" applyFont="1" applyFill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1" fillId="3" borderId="18" xfId="0" applyFont="1" applyFill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4" borderId="0" xfId="0" applyFill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2" fillId="0" borderId="0" xfId="0" applyFont="1" applyAlignment="1">
      <alignment horizontal="center" vertical="center"/>
    </xf>
    <xf numFmtId="0" fontId="17" fillId="0" borderId="6" xfId="0" applyFont="1" applyFill="1" applyBorder="1" applyAlignment="1">
      <alignment horizontal="center" vertical="center"/>
    </xf>
    <xf numFmtId="0" fontId="17" fillId="0" borderId="8" xfId="0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" fillId="0" borderId="17" xfId="0" applyFont="1" applyFill="1" applyBorder="1" applyAlignment="1">
      <alignment horizontal="center" vertical="center" wrapText="1"/>
    </xf>
    <xf numFmtId="0" fontId="1" fillId="0" borderId="19" xfId="0" applyFont="1" applyFill="1" applyBorder="1" applyAlignment="1">
      <alignment horizontal="center" vertical="center"/>
    </xf>
    <xf numFmtId="0" fontId="1" fillId="0" borderId="19" xfId="1" applyNumberFormat="1" applyFont="1" applyFill="1" applyBorder="1" applyAlignment="1">
      <alignment horizontal="center"/>
    </xf>
    <xf numFmtId="0" fontId="1" fillId="0" borderId="21" xfId="1" applyNumberFormat="1" applyFont="1" applyFill="1" applyBorder="1" applyAlignment="1">
      <alignment horizontal="center"/>
    </xf>
    <xf numFmtId="0" fontId="1" fillId="0" borderId="19" xfId="0" applyFont="1" applyFill="1" applyBorder="1" applyAlignment="1">
      <alignment horizontal="center" vertical="center" wrapText="1"/>
    </xf>
    <xf numFmtId="0" fontId="1" fillId="0" borderId="21" xfId="0" applyFont="1" applyFill="1" applyBorder="1" applyAlignment="1">
      <alignment horizontal="center" vertical="center" wrapText="1"/>
    </xf>
    <xf numFmtId="0" fontId="13" fillId="0" borderId="0" xfId="0" applyNumberFormat="1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13" fillId="0" borderId="36" xfId="0" applyFont="1" applyFill="1" applyBorder="1" applyAlignment="1">
      <alignment horizontal="center" vertical="center"/>
    </xf>
    <xf numFmtId="0" fontId="0" fillId="0" borderId="1" xfId="0" applyBorder="1" applyProtection="1">
      <protection locked="0"/>
    </xf>
    <xf numFmtId="0" fontId="0" fillId="0" borderId="9" xfId="0" applyBorder="1" applyAlignment="1" applyProtection="1">
      <protection locked="0"/>
    </xf>
    <xf numFmtId="0" fontId="0" fillId="0" borderId="9" xfId="0" applyBorder="1" applyAlignment="1" applyProtection="1"/>
    <xf numFmtId="0" fontId="0" fillId="0" borderId="0" xfId="0" applyProtection="1"/>
    <xf numFmtId="0" fontId="0" fillId="0" borderId="10" xfId="0" applyBorder="1" applyProtection="1">
      <protection locked="0"/>
    </xf>
    <xf numFmtId="14" fontId="16" fillId="5" borderId="0" xfId="0" applyNumberFormat="1" applyFont="1" applyFill="1" applyBorder="1" applyAlignment="1">
      <alignment horizontal="center"/>
    </xf>
    <xf numFmtId="0" fontId="16" fillId="5" borderId="0" xfId="0" applyFont="1" applyFill="1" applyBorder="1" applyAlignment="1">
      <alignment horizontal="center"/>
    </xf>
    <xf numFmtId="9" fontId="13" fillId="0" borderId="19" xfId="1" applyFont="1" applyFill="1" applyBorder="1" applyAlignment="1">
      <alignment horizontal="center" vertical="center"/>
    </xf>
    <xf numFmtId="0" fontId="0" fillId="0" borderId="42" xfId="0" applyFill="1" applyBorder="1" applyAlignment="1">
      <alignment horizontal="center" vertical="center"/>
    </xf>
    <xf numFmtId="9" fontId="13" fillId="0" borderId="62" xfId="1" applyFont="1" applyFill="1" applyBorder="1" applyAlignment="1">
      <alignment horizontal="center" vertical="center"/>
    </xf>
    <xf numFmtId="0" fontId="1" fillId="7" borderId="46" xfId="0" applyFont="1" applyFill="1" applyBorder="1" applyAlignment="1">
      <alignment horizontal="center" vertical="center"/>
    </xf>
    <xf numFmtId="0" fontId="1" fillId="7" borderId="46" xfId="0" applyFont="1" applyFill="1" applyBorder="1" applyAlignment="1">
      <alignment horizontal="center" vertical="center" wrapText="1"/>
    </xf>
    <xf numFmtId="0" fontId="1" fillId="7" borderId="17" xfId="0" applyFont="1" applyFill="1" applyBorder="1" applyAlignment="1">
      <alignment horizontal="center" vertical="center" wrapText="1"/>
    </xf>
    <xf numFmtId="0" fontId="1" fillId="7" borderId="46" xfId="0" applyFont="1" applyFill="1" applyBorder="1" applyAlignment="1">
      <alignment vertical="center" wrapText="1"/>
    </xf>
    <xf numFmtId="0" fontId="1" fillId="7" borderId="61" xfId="0" applyFont="1" applyFill="1" applyBorder="1" applyAlignment="1">
      <alignment horizontal="center" vertical="center" wrapText="1"/>
    </xf>
    <xf numFmtId="0" fontId="17" fillId="0" borderId="1" xfId="0" applyFont="1" applyFill="1" applyBorder="1" applyAlignment="1">
      <alignment horizontal="center" vertical="center"/>
    </xf>
    <xf numFmtId="0" fontId="1" fillId="0" borderId="70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horizontal="center" vertical="center" wrapText="1"/>
    </xf>
    <xf numFmtId="0" fontId="1" fillId="0" borderId="1" xfId="0" applyFont="1" applyFill="1" applyBorder="1" applyAlignment="1">
      <alignment horizontal="center" vertical="center"/>
    </xf>
    <xf numFmtId="0" fontId="8" fillId="0" borderId="45" xfId="0" applyFont="1" applyFill="1" applyBorder="1" applyAlignment="1">
      <alignment horizontal="left" vertical="center" wrapText="1"/>
    </xf>
    <xf numFmtId="0" fontId="8" fillId="0" borderId="30" xfId="0" applyFont="1" applyFill="1" applyBorder="1" applyAlignment="1">
      <alignment horizontal="left" vertical="center" wrapText="1"/>
    </xf>
    <xf numFmtId="0" fontId="6" fillId="8" borderId="28" xfId="0" applyFont="1" applyFill="1" applyBorder="1" applyAlignment="1">
      <alignment horizontal="center" vertical="center" wrapText="1"/>
    </xf>
    <xf numFmtId="0" fontId="0" fillId="0" borderId="28" xfId="0" applyNumberFormat="1" applyFont="1" applyBorder="1" applyAlignment="1">
      <alignment horizontal="center" vertical="center" wrapText="1"/>
    </xf>
    <xf numFmtId="0" fontId="0" fillId="0" borderId="38" xfId="0" applyNumberFormat="1" applyFont="1" applyBorder="1" applyAlignment="1">
      <alignment horizontal="center" vertical="center" wrapText="1"/>
    </xf>
    <xf numFmtId="0" fontId="0" fillId="3" borderId="28" xfId="0" applyFont="1" applyFill="1" applyBorder="1" applyAlignment="1">
      <alignment horizontal="center" vertical="center" wrapText="1"/>
    </xf>
    <xf numFmtId="0" fontId="0" fillId="3" borderId="28" xfId="0" applyNumberFormat="1" applyFont="1" applyFill="1" applyBorder="1" applyAlignment="1">
      <alignment horizontal="center" vertical="center" wrapText="1"/>
    </xf>
    <xf numFmtId="0" fontId="0" fillId="3" borderId="38" xfId="0" applyNumberFormat="1" applyFont="1" applyFill="1" applyBorder="1" applyAlignment="1">
      <alignment horizontal="center" vertical="center" wrapText="1"/>
    </xf>
    <xf numFmtId="0" fontId="1" fillId="8" borderId="28" xfId="0" applyFont="1" applyFill="1" applyBorder="1" applyAlignment="1">
      <alignment horizontal="center" vertical="center" wrapText="1"/>
    </xf>
    <xf numFmtId="0" fontId="1" fillId="8" borderId="38" xfId="0" applyFont="1" applyFill="1" applyBorder="1" applyAlignment="1">
      <alignment horizontal="center" vertical="center" wrapText="1"/>
    </xf>
    <xf numFmtId="0" fontId="1" fillId="8" borderId="0" xfId="0" applyFont="1" applyFill="1" applyBorder="1" applyAlignment="1">
      <alignment horizontal="center" vertical="center" wrapText="1"/>
    </xf>
    <xf numFmtId="0" fontId="0" fillId="0" borderId="0" xfId="0" applyProtection="1">
      <protection locked="0"/>
    </xf>
    <xf numFmtId="0" fontId="0" fillId="0" borderId="0" xfId="0" applyAlignment="1">
      <alignment horizontal="center"/>
    </xf>
    <xf numFmtId="0" fontId="0" fillId="0" borderId="12" xfId="0" applyFill="1" applyBorder="1" applyProtection="1"/>
    <xf numFmtId="14" fontId="0" fillId="0" borderId="10" xfId="0" applyNumberFormat="1" applyBorder="1" applyAlignment="1" applyProtection="1"/>
    <xf numFmtId="14" fontId="18" fillId="0" borderId="10" xfId="0" applyNumberFormat="1" applyFont="1" applyBorder="1" applyAlignment="1" applyProtection="1">
      <protection locked="0"/>
    </xf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0" fillId="0" borderId="72" xfId="0" applyBorder="1" applyAlignment="1"/>
    <xf numFmtId="0" fontId="1" fillId="10" borderId="71" xfId="0" applyFont="1" applyFill="1" applyBorder="1" applyAlignment="1">
      <alignment horizontal="left"/>
    </xf>
    <xf numFmtId="0" fontId="0" fillId="10" borderId="7" xfId="0" applyFill="1" applyBorder="1" applyAlignment="1">
      <alignment horizontal="left"/>
    </xf>
    <xf numFmtId="0" fontId="0" fillId="10" borderId="7" xfId="0" applyFill="1" applyBorder="1" applyAlignment="1"/>
    <xf numFmtId="0" fontId="0" fillId="0" borderId="36" xfId="0" applyBorder="1" applyAlignment="1"/>
    <xf numFmtId="0" fontId="0" fillId="0" borderId="7" xfId="0" applyFill="1" applyBorder="1" applyAlignment="1">
      <alignment horizontal="left"/>
    </xf>
    <xf numFmtId="0" fontId="0" fillId="0" borderId="7" xfId="0" applyFill="1" applyBorder="1" applyAlignment="1"/>
    <xf numFmtId="0" fontId="1" fillId="0" borderId="71" xfId="0" applyFont="1" applyFill="1" applyBorder="1" applyAlignment="1">
      <alignment horizontal="left" vertical="center"/>
    </xf>
    <xf numFmtId="0" fontId="0" fillId="0" borderId="4" xfId="0" applyFill="1" applyBorder="1" applyAlignment="1"/>
    <xf numFmtId="0" fontId="0" fillId="0" borderId="60" xfId="0" applyBorder="1" applyAlignment="1"/>
    <xf numFmtId="0" fontId="0" fillId="0" borderId="72" xfId="0" applyBorder="1" applyAlignment="1">
      <alignment horizontal="left"/>
    </xf>
    <xf numFmtId="0" fontId="0" fillId="0" borderId="60" xfId="0" applyBorder="1" applyAlignment="1">
      <alignment horizontal="left"/>
    </xf>
    <xf numFmtId="0" fontId="0" fillId="0" borderId="73" xfId="0" applyBorder="1" applyAlignment="1">
      <alignment horizontal="left"/>
    </xf>
    <xf numFmtId="0" fontId="0" fillId="0" borderId="73" xfId="0" applyBorder="1" applyAlignment="1"/>
    <xf numFmtId="0" fontId="0" fillId="0" borderId="71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7" xfId="0" applyBorder="1" applyAlignment="1"/>
    <xf numFmtId="0" fontId="1" fillId="0" borderId="0" xfId="0" applyFont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Border="1" applyAlignment="1"/>
    <xf numFmtId="0" fontId="1" fillId="10" borderId="74" xfId="0" applyFont="1" applyFill="1" applyBorder="1" applyAlignment="1">
      <alignment horizontal="left"/>
    </xf>
    <xf numFmtId="0" fontId="0" fillId="10" borderId="75" xfId="0" applyFill="1" applyBorder="1" applyAlignment="1">
      <alignment horizontal="left"/>
    </xf>
    <xf numFmtId="0" fontId="0" fillId="10" borderId="75" xfId="0" applyFill="1" applyBorder="1" applyAlignment="1"/>
    <xf numFmtId="0" fontId="0" fillId="10" borderId="76" xfId="0" applyFill="1" applyBorder="1" applyAlignment="1"/>
    <xf numFmtId="0" fontId="0" fillId="0" borderId="71" xfId="0" applyBorder="1" applyAlignment="1"/>
    <xf numFmtId="0" fontId="0" fillId="0" borderId="77" xfId="0" applyBorder="1" applyAlignment="1">
      <alignment horizontal="left"/>
    </xf>
    <xf numFmtId="0" fontId="0" fillId="0" borderId="78" xfId="0" applyBorder="1" applyAlignment="1"/>
    <xf numFmtId="0" fontId="0" fillId="0" borderId="69" xfId="0" applyBorder="1" applyAlignment="1">
      <alignment horizontal="left"/>
    </xf>
    <xf numFmtId="0" fontId="0" fillId="0" borderId="74" xfId="0" applyBorder="1" applyAlignment="1">
      <alignment horizontal="left"/>
    </xf>
    <xf numFmtId="0" fontId="0" fillId="0" borderId="75" xfId="0" applyBorder="1" applyAlignment="1">
      <alignment horizontal="left"/>
    </xf>
    <xf numFmtId="0" fontId="0" fillId="0" borderId="75" xfId="0" applyBorder="1" applyAlignment="1"/>
    <xf numFmtId="0" fontId="0" fillId="0" borderId="76" xfId="0" applyBorder="1" applyAlignment="1"/>
    <xf numFmtId="0" fontId="0" fillId="0" borderId="4" xfId="0" applyBorder="1" applyAlignment="1"/>
    <xf numFmtId="0" fontId="0" fillId="0" borderId="79" xfId="0" applyBorder="1" applyAlignment="1">
      <alignment horizontal="left"/>
    </xf>
    <xf numFmtId="0" fontId="0" fillId="10" borderId="4" xfId="0" applyFill="1" applyBorder="1" applyAlignment="1"/>
    <xf numFmtId="0" fontId="1" fillId="9" borderId="71" xfId="0" applyFont="1" applyFill="1" applyBorder="1" applyAlignment="1">
      <alignment horizontal="left"/>
    </xf>
    <xf numFmtId="0" fontId="0" fillId="9" borderId="7" xfId="0" applyFill="1" applyBorder="1" applyAlignment="1">
      <alignment horizontal="left"/>
    </xf>
    <xf numFmtId="0" fontId="0" fillId="9" borderId="7" xfId="0" applyFill="1" applyBorder="1" applyAlignment="1"/>
    <xf numFmtId="0" fontId="0" fillId="9" borderId="4" xfId="0" applyFill="1" applyBorder="1" applyAlignment="1"/>
    <xf numFmtId="0" fontId="1" fillId="2" borderId="71" xfId="0" applyFont="1" applyFill="1" applyBorder="1" applyAlignment="1">
      <alignment horizontal="left" vertical="center"/>
    </xf>
    <xf numFmtId="0" fontId="0" fillId="2" borderId="7" xfId="0" applyFill="1" applyBorder="1" applyAlignment="1">
      <alignment horizontal="left"/>
    </xf>
    <xf numFmtId="0" fontId="0" fillId="2" borderId="7" xfId="0" applyFill="1" applyBorder="1" applyAlignment="1"/>
    <xf numFmtId="0" fontId="0" fillId="2" borderId="4" xfId="0" applyFill="1" applyBorder="1" applyAlignment="1"/>
    <xf numFmtId="0" fontId="0" fillId="0" borderId="71" xfId="0" applyFont="1" applyBorder="1" applyAlignment="1">
      <alignment horizontal="left" vertical="center"/>
    </xf>
    <xf numFmtId="0" fontId="0" fillId="0" borderId="77" xfId="0" applyFont="1" applyFill="1" applyBorder="1" applyAlignment="1">
      <alignment horizontal="left" vertical="center"/>
    </xf>
    <xf numFmtId="0" fontId="0" fillId="0" borderId="71" xfId="0" applyFont="1" applyFill="1" applyBorder="1" applyAlignment="1">
      <alignment horizontal="left" vertical="center"/>
    </xf>
    <xf numFmtId="0" fontId="0" fillId="0" borderId="69" xfId="0" applyFont="1" applyFill="1" applyBorder="1" applyAlignment="1">
      <alignment horizontal="left" vertical="center"/>
    </xf>
    <xf numFmtId="0" fontId="0" fillId="0" borderId="74" xfId="0" applyFont="1" applyFill="1" applyBorder="1" applyAlignment="1">
      <alignment horizontal="left" vertical="center"/>
    </xf>
    <xf numFmtId="0" fontId="0" fillId="0" borderId="77" xfId="0" applyFont="1" applyBorder="1" applyAlignment="1">
      <alignment horizontal="left" vertical="center"/>
    </xf>
    <xf numFmtId="0" fontId="0" fillId="0" borderId="79" xfId="0" applyFont="1" applyBorder="1" applyAlignment="1">
      <alignment horizontal="left" vertical="center"/>
    </xf>
    <xf numFmtId="0" fontId="0" fillId="0" borderId="69" xfId="0" applyFont="1" applyBorder="1" applyAlignment="1">
      <alignment horizontal="left" vertical="center"/>
    </xf>
    <xf numFmtId="0" fontId="0" fillId="0" borderId="60" xfId="0" applyFont="1" applyFill="1" applyBorder="1" applyAlignment="1">
      <alignment horizontal="left" vertical="center"/>
    </xf>
    <xf numFmtId="0" fontId="19" fillId="0" borderId="0" xfId="0" applyFont="1" applyAlignment="1">
      <alignment horizontal="center"/>
    </xf>
    <xf numFmtId="0" fontId="1" fillId="10" borderId="7" xfId="0" applyFont="1" applyFill="1" applyBorder="1" applyAlignment="1">
      <alignment horizontal="left"/>
    </xf>
    <xf numFmtId="0" fontId="0" fillId="0" borderId="36" xfId="0" applyBorder="1"/>
    <xf numFmtId="0" fontId="0" fillId="0" borderId="60" xfId="0" applyBorder="1"/>
    <xf numFmtId="0" fontId="0" fillId="0" borderId="71" xfId="0" applyBorder="1"/>
    <xf numFmtId="0" fontId="1" fillId="10" borderId="4" xfId="0" applyFont="1" applyFill="1" applyBorder="1" applyAlignment="1">
      <alignment horizontal="left"/>
    </xf>
    <xf numFmtId="0" fontId="1" fillId="11" borderId="71" xfId="0" applyFont="1" applyFill="1" applyBorder="1" applyAlignment="1">
      <alignment horizontal="left"/>
    </xf>
    <xf numFmtId="0" fontId="0" fillId="11" borderId="7" xfId="0" applyFill="1" applyBorder="1" applyAlignment="1">
      <alignment horizontal="left"/>
    </xf>
    <xf numFmtId="0" fontId="0" fillId="11" borderId="7" xfId="0" applyFill="1" applyBorder="1" applyAlignment="1"/>
    <xf numFmtId="0" fontId="0" fillId="11" borderId="71" xfId="0" applyFont="1" applyFill="1" applyBorder="1" applyAlignment="1">
      <alignment horizontal="left"/>
    </xf>
    <xf numFmtId="0" fontId="1" fillId="11" borderId="7" xfId="0" applyFont="1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9" xfId="0" applyBorder="1" applyAlignment="1"/>
    <xf numFmtId="2" fontId="0" fillId="0" borderId="0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1" fillId="5" borderId="0" xfId="0" applyFont="1" applyFill="1" applyBorder="1" applyAlignment="1">
      <alignment horizontal="left"/>
    </xf>
    <xf numFmtId="0" fontId="4" fillId="5" borderId="0" xfId="0" applyFont="1" applyFill="1" applyBorder="1" applyAlignment="1">
      <alignment horizontal="center"/>
    </xf>
    <xf numFmtId="0" fontId="4" fillId="5" borderId="80" xfId="0" applyFont="1" applyFill="1" applyBorder="1" applyAlignment="1">
      <alignment horizontal="center"/>
    </xf>
    <xf numFmtId="12" fontId="0" fillId="3" borderId="0" xfId="0" quotePrefix="1" applyNumberFormat="1" applyFont="1" applyFill="1" applyBorder="1" applyAlignment="1">
      <alignment horizontal="center"/>
    </xf>
    <xf numFmtId="0" fontId="0" fillId="0" borderId="10" xfId="0" applyBorder="1" applyAlignment="1">
      <alignment horizontal="center" vertical="center" wrapText="1"/>
    </xf>
    <xf numFmtId="0" fontId="16" fillId="5" borderId="9" xfId="0" applyFont="1" applyFill="1" applyBorder="1" applyAlignment="1">
      <alignment horizontal="center"/>
    </xf>
    <xf numFmtId="0" fontId="9" fillId="5" borderId="0" xfId="0" applyFont="1" applyFill="1" applyBorder="1" applyAlignment="1">
      <alignment horizontal="left" vertical="center" wrapText="1"/>
    </xf>
    <xf numFmtId="0" fontId="1" fillId="5" borderId="0" xfId="0" applyFont="1" applyFill="1" applyBorder="1" applyAlignment="1">
      <alignment horizontal="center" vertical="center" wrapText="1"/>
    </xf>
    <xf numFmtId="0" fontId="0" fillId="0" borderId="71" xfId="0" applyFont="1" applyFill="1" applyBorder="1" applyAlignment="1">
      <alignment horizontal="left" vertical="center"/>
    </xf>
    <xf numFmtId="0" fontId="0" fillId="0" borderId="7" xfId="0" applyFont="1" applyFill="1" applyBorder="1" applyAlignment="1">
      <alignment horizontal="left" vertical="center"/>
    </xf>
    <xf numFmtId="0" fontId="0" fillId="0" borderId="4" xfId="0" applyFont="1" applyFill="1" applyBorder="1" applyAlignment="1">
      <alignment horizontal="left" vertical="center"/>
    </xf>
    <xf numFmtId="0" fontId="0" fillId="0" borderId="71" xfId="0" applyFill="1" applyBorder="1" applyAlignment="1">
      <alignment horizontal="left"/>
    </xf>
    <xf numFmtId="0" fontId="0" fillId="0" borderId="7" xfId="0" applyFill="1" applyBorder="1" applyAlignment="1">
      <alignment horizontal="left"/>
    </xf>
    <xf numFmtId="0" fontId="0" fillId="0" borderId="4" xfId="0" applyFill="1" applyBorder="1" applyAlignment="1">
      <alignment horizontal="left"/>
    </xf>
    <xf numFmtId="0" fontId="0" fillId="11" borderId="71" xfId="0" applyFill="1" applyBorder="1" applyAlignment="1">
      <alignment horizontal="left"/>
    </xf>
    <xf numFmtId="0" fontId="0" fillId="11" borderId="7" xfId="0" applyFill="1" applyBorder="1" applyAlignment="1">
      <alignment horizontal="left"/>
    </xf>
    <xf numFmtId="0" fontId="0" fillId="11" borderId="4" xfId="0" applyFill="1" applyBorder="1" applyAlignment="1">
      <alignment horizontal="left"/>
    </xf>
    <xf numFmtId="0" fontId="19" fillId="0" borderId="0" xfId="0" applyFont="1" applyAlignment="1">
      <alignment horizontal="center"/>
    </xf>
    <xf numFmtId="0" fontId="20" fillId="9" borderId="71" xfId="0" applyFont="1" applyFill="1" applyBorder="1" applyAlignment="1">
      <alignment horizontal="left"/>
    </xf>
    <xf numFmtId="0" fontId="20" fillId="9" borderId="7" xfId="0" applyFont="1" applyFill="1" applyBorder="1" applyAlignment="1">
      <alignment horizontal="left"/>
    </xf>
    <xf numFmtId="0" fontId="20" fillId="9" borderId="4" xfId="0" applyFont="1" applyFill="1" applyBorder="1" applyAlignment="1">
      <alignment horizontal="left"/>
    </xf>
    <xf numFmtId="0" fontId="1" fillId="11" borderId="71" xfId="0" applyFont="1" applyFill="1" applyBorder="1" applyAlignment="1">
      <alignment horizontal="left" wrapText="1"/>
    </xf>
    <xf numFmtId="0" fontId="1" fillId="11" borderId="7" xfId="0" applyFont="1" applyFill="1" applyBorder="1" applyAlignment="1">
      <alignment horizontal="left" wrapText="1"/>
    </xf>
    <xf numFmtId="0" fontId="1" fillId="11" borderId="4" xfId="0" applyFont="1" applyFill="1" applyBorder="1" applyAlignment="1">
      <alignment horizontal="left" wrapText="1"/>
    </xf>
    <xf numFmtId="0" fontId="1" fillId="4" borderId="71" xfId="0" applyFont="1" applyFill="1" applyBorder="1" applyAlignment="1">
      <alignment horizontal="left"/>
    </xf>
    <xf numFmtId="0" fontId="1" fillId="4" borderId="7" xfId="0" applyFont="1" applyFill="1" applyBorder="1" applyAlignment="1">
      <alignment horizontal="left"/>
    </xf>
    <xf numFmtId="0" fontId="1" fillId="4" borderId="4" xfId="0" applyFont="1" applyFill="1" applyBorder="1" applyAlignment="1">
      <alignment horizontal="left"/>
    </xf>
    <xf numFmtId="0" fontId="12" fillId="0" borderId="0" xfId="0" applyFont="1" applyAlignment="1">
      <alignment horizontal="left"/>
    </xf>
    <xf numFmtId="0" fontId="12" fillId="0" borderId="0" xfId="0" applyFont="1" applyAlignment="1">
      <alignment horizontal="left" vertical="center"/>
    </xf>
    <xf numFmtId="0" fontId="10" fillId="0" borderId="0" xfId="0" applyFont="1" applyAlignment="1"/>
    <xf numFmtId="0" fontId="10" fillId="0" borderId="0" xfId="0" applyFont="1" applyAlignment="1">
      <alignment vertical="center"/>
    </xf>
    <xf numFmtId="0" fontId="10" fillId="0" borderId="0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10" fillId="0" borderId="0" xfId="0" applyFont="1" applyAlignment="1">
      <alignment horizontal="center" vertical="center"/>
    </xf>
    <xf numFmtId="0" fontId="3" fillId="5" borderId="23" xfId="0" applyFont="1" applyFill="1" applyBorder="1" applyAlignment="1">
      <alignment horizontal="center"/>
    </xf>
    <xf numFmtId="0" fontId="3" fillId="5" borderId="9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 vertical="center" wrapText="1"/>
    </xf>
    <xf numFmtId="0" fontId="0" fillId="0" borderId="0" xfId="0" applyFont="1" applyFill="1" applyBorder="1" applyAlignment="1">
      <alignment horizontal="right" vertical="center" wrapText="1"/>
    </xf>
    <xf numFmtId="0" fontId="1" fillId="0" borderId="48" xfId="0" applyFont="1" applyFill="1" applyBorder="1" applyAlignment="1">
      <alignment horizontal="center" vertical="center"/>
    </xf>
    <xf numFmtId="0" fontId="1" fillId="0" borderId="57" xfId="0" applyFont="1" applyFill="1" applyBorder="1" applyAlignment="1">
      <alignment horizontal="center" vertical="center"/>
    </xf>
    <xf numFmtId="0" fontId="1" fillId="0" borderId="49" xfId="0" applyFont="1" applyFill="1" applyBorder="1" applyAlignment="1">
      <alignment horizontal="center" vertical="center"/>
    </xf>
    <xf numFmtId="9" fontId="17" fillId="0" borderId="56" xfId="1" applyFont="1" applyFill="1" applyBorder="1" applyAlignment="1">
      <alignment horizontal="center" vertical="center"/>
    </xf>
    <xf numFmtId="9" fontId="17" fillId="0" borderId="47" xfId="1" applyFont="1" applyFill="1" applyBorder="1" applyAlignment="1">
      <alignment horizontal="center" vertical="center"/>
    </xf>
    <xf numFmtId="9" fontId="17" fillId="0" borderId="59" xfId="1" applyFont="1" applyFill="1" applyBorder="1" applyAlignment="1">
      <alignment horizontal="center" vertical="center"/>
    </xf>
    <xf numFmtId="9" fontId="17" fillId="0" borderId="21" xfId="1" applyFont="1" applyFill="1" applyBorder="1" applyAlignment="1">
      <alignment horizontal="center" vertical="center"/>
    </xf>
    <xf numFmtId="0" fontId="1" fillId="7" borderId="39" xfId="0" applyFont="1" applyFill="1" applyBorder="1" applyAlignment="1">
      <alignment horizontal="center" vertical="center" wrapText="1"/>
    </xf>
    <xf numFmtId="0" fontId="1" fillId="7" borderId="40" xfId="0" applyFont="1" applyFill="1" applyBorder="1" applyAlignment="1">
      <alignment horizontal="center" vertical="center" wrapText="1"/>
    </xf>
    <xf numFmtId="0" fontId="1" fillId="7" borderId="43" xfId="0" applyFont="1" applyFill="1" applyBorder="1" applyAlignment="1">
      <alignment horizontal="center" vertical="center" wrapText="1"/>
    </xf>
    <xf numFmtId="0" fontId="1" fillId="7" borderId="9" xfId="0" applyFont="1" applyFill="1" applyBorder="1" applyAlignment="1">
      <alignment horizontal="center" vertical="center" wrapText="1"/>
    </xf>
    <xf numFmtId="9" fontId="17" fillId="0" borderId="55" xfId="1" applyFont="1" applyFill="1" applyBorder="1" applyAlignment="1">
      <alignment horizontal="center" vertical="center"/>
    </xf>
    <xf numFmtId="9" fontId="17" fillId="0" borderId="9" xfId="1" applyFont="1" applyFill="1" applyBorder="1" applyAlignment="1">
      <alignment horizontal="center" vertical="center"/>
    </xf>
    <xf numFmtId="9" fontId="17" fillId="0" borderId="44" xfId="1" applyFont="1" applyFill="1" applyBorder="1" applyAlignment="1">
      <alignment horizontal="center" vertical="center"/>
    </xf>
    <xf numFmtId="0" fontId="1" fillId="7" borderId="58" xfId="0" applyFont="1" applyFill="1" applyBorder="1" applyAlignment="1">
      <alignment horizontal="center" vertical="center" wrapText="1"/>
    </xf>
    <xf numFmtId="0" fontId="1" fillId="7" borderId="60" xfId="0" applyFont="1" applyFill="1" applyBorder="1" applyAlignment="1">
      <alignment horizontal="center" vertical="center" wrapText="1"/>
    </xf>
    <xf numFmtId="0" fontId="16" fillId="5" borderId="9" xfId="0" applyFont="1" applyFill="1" applyBorder="1" applyAlignment="1">
      <alignment horizontal="center"/>
    </xf>
    <xf numFmtId="14" fontId="13" fillId="5" borderId="9" xfId="0" applyNumberFormat="1" applyFont="1" applyFill="1" applyBorder="1" applyAlignment="1">
      <alignment horizontal="center"/>
    </xf>
    <xf numFmtId="0" fontId="1" fillId="5" borderId="0" xfId="0" applyFont="1" applyFill="1" applyBorder="1" applyAlignment="1">
      <alignment horizontal="left" wrapText="1"/>
    </xf>
    <xf numFmtId="0" fontId="1" fillId="0" borderId="43" xfId="0" applyFont="1" applyFill="1" applyBorder="1" applyAlignment="1">
      <alignment horizontal="center" vertical="center"/>
    </xf>
    <xf numFmtId="0" fontId="1" fillId="0" borderId="9" xfId="0" applyFont="1" applyFill="1" applyBorder="1" applyAlignment="1">
      <alignment horizontal="center" vertical="center"/>
    </xf>
    <xf numFmtId="0" fontId="1" fillId="0" borderId="44" xfId="0" applyFont="1" applyFill="1" applyBorder="1" applyAlignment="1">
      <alignment horizontal="center" vertical="center"/>
    </xf>
    <xf numFmtId="0" fontId="1" fillId="0" borderId="58" xfId="0" applyFont="1" applyBorder="1" applyAlignment="1">
      <alignment horizontal="center" vertical="center"/>
    </xf>
    <xf numFmtId="0" fontId="1" fillId="0" borderId="69" xfId="0" applyFont="1" applyBorder="1" applyAlignment="1">
      <alignment horizontal="center" vertical="center"/>
    </xf>
    <xf numFmtId="0" fontId="1" fillId="0" borderId="18" xfId="0" applyFont="1" applyFill="1" applyBorder="1" applyAlignment="1">
      <alignment horizontal="center" vertical="center" wrapText="1"/>
    </xf>
    <xf numFmtId="0" fontId="1" fillId="0" borderId="36" xfId="0" applyFont="1" applyFill="1" applyBorder="1" applyAlignment="1">
      <alignment horizontal="center" vertical="center" wrapText="1"/>
    </xf>
    <xf numFmtId="0" fontId="1" fillId="0" borderId="20" xfId="0" applyFont="1" applyFill="1" applyBorder="1" applyAlignment="1">
      <alignment horizontal="center" vertical="center"/>
    </xf>
    <xf numFmtId="0" fontId="1" fillId="0" borderId="47" xfId="0" applyFont="1" applyFill="1" applyBorder="1" applyAlignment="1">
      <alignment horizontal="center" vertical="center"/>
    </xf>
    <xf numFmtId="0" fontId="15" fillId="7" borderId="39" xfId="0" applyFont="1" applyFill="1" applyBorder="1" applyAlignment="1">
      <alignment horizontal="center" vertical="center" wrapText="1"/>
    </xf>
    <xf numFmtId="0" fontId="15" fillId="7" borderId="40" xfId="0" applyFont="1" applyFill="1" applyBorder="1" applyAlignment="1">
      <alignment horizontal="center" vertical="center" wrapText="1"/>
    </xf>
    <xf numFmtId="0" fontId="15" fillId="7" borderId="10" xfId="0" applyFont="1" applyFill="1" applyBorder="1" applyAlignment="1">
      <alignment horizontal="center" vertical="center" wrapText="1"/>
    </xf>
    <xf numFmtId="0" fontId="15" fillId="7" borderId="3" xfId="0" applyFont="1" applyFill="1" applyBorder="1" applyAlignment="1">
      <alignment horizontal="center" vertical="center" wrapText="1"/>
    </xf>
    <xf numFmtId="0" fontId="17" fillId="0" borderId="2" xfId="0" applyFont="1" applyFill="1" applyBorder="1" applyAlignment="1">
      <alignment horizontal="center" vertical="center"/>
    </xf>
    <xf numFmtId="0" fontId="17" fillId="0" borderId="10" xfId="0" applyFont="1" applyFill="1" applyBorder="1" applyAlignment="1">
      <alignment horizontal="center" vertical="center"/>
    </xf>
    <xf numFmtId="0" fontId="0" fillId="0" borderId="43" xfId="0" applyFont="1" applyFill="1" applyBorder="1" applyAlignment="1">
      <alignment horizontal="center" vertical="center" wrapText="1"/>
    </xf>
    <xf numFmtId="0" fontId="0" fillId="0" borderId="9" xfId="0" applyFont="1" applyFill="1" applyBorder="1" applyAlignment="1">
      <alignment horizontal="center" vertical="center" wrapText="1"/>
    </xf>
    <xf numFmtId="0" fontId="0" fillId="0" borderId="44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43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44" xfId="0" applyBorder="1" applyAlignment="1">
      <alignment horizontal="center" vertical="center" wrapText="1"/>
    </xf>
    <xf numFmtId="0" fontId="17" fillId="0" borderId="3" xfId="0" applyFont="1" applyFill="1" applyBorder="1" applyAlignment="1">
      <alignment horizontal="center" vertical="center"/>
    </xf>
    <xf numFmtId="0" fontId="17" fillId="0" borderId="2" xfId="0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15" fillId="7" borderId="2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6" xfId="0" applyFont="1" applyFill="1" applyBorder="1" applyAlignment="1">
      <alignment horizontal="center" vertical="center" wrapText="1"/>
    </xf>
    <xf numFmtId="0" fontId="1" fillId="0" borderId="2" xfId="0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0" fontId="1" fillId="0" borderId="63" xfId="0" applyFont="1" applyFill="1" applyBorder="1" applyAlignment="1">
      <alignment horizontal="center" vertical="center"/>
    </xf>
    <xf numFmtId="0" fontId="1" fillId="0" borderId="64" xfId="0" applyFont="1" applyFill="1" applyBorder="1" applyAlignment="1">
      <alignment horizontal="center" vertical="center"/>
    </xf>
    <xf numFmtId="0" fontId="1" fillId="0" borderId="65" xfId="0" applyFont="1" applyFill="1" applyBorder="1" applyAlignment="1">
      <alignment horizontal="center" vertical="center"/>
    </xf>
    <xf numFmtId="0" fontId="1" fillId="0" borderId="66" xfId="0" applyFont="1" applyFill="1" applyBorder="1" applyAlignment="1">
      <alignment horizontal="center" vertical="center"/>
    </xf>
    <xf numFmtId="0" fontId="1" fillId="0" borderId="7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0" borderId="66" xfId="0" applyFont="1" applyFill="1" applyBorder="1" applyAlignment="1">
      <alignment horizontal="center" vertical="center" wrapText="1"/>
    </xf>
    <xf numFmtId="0" fontId="1" fillId="0" borderId="7" xfId="0" applyFont="1" applyFill="1" applyBorder="1" applyAlignment="1">
      <alignment horizontal="center" vertical="center" wrapText="1"/>
    </xf>
    <xf numFmtId="0" fontId="1" fillId="0" borderId="4" xfId="0" applyFont="1" applyFill="1" applyBorder="1" applyAlignment="1">
      <alignment horizontal="center" vertical="center" wrapText="1"/>
    </xf>
    <xf numFmtId="0" fontId="1" fillId="0" borderId="67" xfId="0" applyFont="1" applyFill="1" applyBorder="1" applyAlignment="1">
      <alignment horizontal="center"/>
    </xf>
    <xf numFmtId="0" fontId="1" fillId="0" borderId="68" xfId="0" applyFont="1" applyFill="1" applyBorder="1" applyAlignment="1">
      <alignment horizontal="center"/>
    </xf>
    <xf numFmtId="0" fontId="1" fillId="0" borderId="56" xfId="0" applyFont="1" applyFill="1" applyBorder="1" applyAlignment="1">
      <alignment horizontal="center"/>
    </xf>
    <xf numFmtId="0" fontId="1" fillId="4" borderId="0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</cellXfs>
  <cellStyles count="2">
    <cellStyle name="Normal" xfId="0" builtinId="0"/>
    <cellStyle name="Percent" xfId="1" builtinId="5"/>
  </cellStyles>
  <dxfs count="508">
    <dxf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alignment horizontal="center" vertical="center" textRotation="0" wrapText="1" indent="0" relativeIndent="255" justifyLastLine="0" shrinkToFit="0" readingOrder="0"/>
    </dxf>
    <dxf>
      <alignment horizontal="center" vertical="center" textRotation="0" wrapText="1" indent="0" relativeIndent="255" justifyLastLine="0" shrinkToFit="0" readingOrder="0"/>
    </dxf>
    <dxf>
      <alignment horizontal="center" vertical="center" textRotation="0" wrapText="1" indent="0" relativeIndent="255" justifyLastLine="0" shrinkToFit="0" readingOrder="0"/>
    </dxf>
    <dxf>
      <alignment horizontal="center" vertical="center" textRotation="0" indent="0" relativeIndent="255" justifyLastLine="0" shrinkToFit="0" readingOrder="0"/>
    </dxf>
    <dxf>
      <alignment horizontal="center" vertical="center" textRotation="0" wrapText="1" indent="0" relativeIndent="255" justifyLastLine="0" shrinkToFit="0" readingOrder="0"/>
    </dxf>
    <dxf>
      <alignment horizontal="center" vertical="center" textRotation="0" wrapText="1" indent="0" relativeIndent="255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1" indent="0" relativeIndent="255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1" indent="0" relativeIndent="255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1" indent="0" relativeIndent="255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1" indent="0" relativeIndent="255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1" indent="0" relativeIndent="255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1" indent="0" relativeIndent="255" justifyLastLine="0" shrinkToFit="0" readingOrder="0"/>
    </dxf>
    <dxf>
      <alignment horizontal="center" vertical="center" textRotation="0" wrapText="1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alignment horizontal="center" vertical="center" textRotation="0" wrapText="1" indent="0" relativeIndent="255" justifyLastLine="0" shrinkToFit="0" readingOrder="0"/>
    </dxf>
    <dxf>
      <alignment horizontal="center" vertical="center" textRotation="0" wrapText="1" indent="0" relativeIndent="255" justifyLastLine="0" shrinkToFit="0" readingOrder="0"/>
    </dxf>
    <dxf>
      <alignment horizontal="center" vertical="center" textRotation="0" wrapText="1" indent="0" relativeIndent="255" justifyLastLine="0" shrinkToFit="0" readingOrder="0"/>
    </dxf>
    <dxf>
      <alignment horizontal="center" vertical="center" textRotation="0" indent="0" relativeIndent="255" justifyLastLine="0" shrinkToFit="0" readingOrder="0"/>
    </dxf>
    <dxf>
      <alignment horizontal="center" vertical="center" textRotation="0" wrapText="1" indent="0" relativeIndent="255" justifyLastLine="0" shrinkToFit="0" readingOrder="0"/>
    </dxf>
    <dxf>
      <alignment horizontal="center" vertical="center" textRotation="0" wrapText="1" indent="0" relativeIndent="255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1" indent="0" relativeIndent="255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1" indent="0" relativeIndent="255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1" indent="0" relativeIndent="255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1" indent="0" relativeIndent="255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1" indent="0" relativeIndent="255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1" indent="0" relativeIndent="255" justifyLastLine="0" shrinkToFit="0" readingOrder="0"/>
    </dxf>
    <dxf>
      <alignment horizontal="center" vertical="center" textRotation="0" wrapText="1" indent="0" relativeIndent="255" justifyLastLine="0" shrinkToFit="0" readingOrder="0"/>
    </dxf>
    <dxf>
      <numFmt numFmtId="0" formatCode="General"/>
      <alignment horizontal="center" vertical="center" textRotation="0" wrapText="1" indent="0" relativeIndent="255" justifyLastLine="0" shrinkToFit="0" readingOrder="0"/>
    </dxf>
    <dxf>
      <numFmt numFmtId="0" formatCode="General"/>
      <alignment horizontal="center" vertical="center" textRotation="0" wrapText="1" indent="0" relativeIndent="255" justifyLastLine="0" shrinkToFit="0" readingOrder="0"/>
    </dxf>
    <dxf>
      <numFmt numFmtId="0" formatCode="General"/>
      <alignment horizontal="center" vertical="center" textRotation="0" wrapText="1" indent="0" relativeIndent="255" justifyLastLine="0" shrinkToFit="0" readingOrder="0"/>
    </dxf>
    <dxf>
      <numFmt numFmtId="0" formatCode="General"/>
      <alignment horizontal="center" vertical="center" textRotation="0" wrapText="1" indent="0" relativeIndent="255" justifyLastLine="0" shrinkToFit="0" readingOrder="0"/>
    </dxf>
    <dxf>
      <numFmt numFmtId="0" formatCode="General"/>
      <alignment horizontal="center" vertical="center" textRotation="0" wrapText="1" indent="0" relativeIndent="255" justifyLastLine="0" shrinkToFit="0" readingOrder="0"/>
    </dxf>
    <dxf>
      <alignment horizontal="general" vertical="bottom" textRotation="0" wrapText="1" indent="0" relativeIndent="255" justifyLastLine="0" shrinkToFit="0" readingOrder="0"/>
    </dxf>
    <dxf>
      <alignment horizontal="general" vertical="bottom" textRotation="0" wrapText="1" indent="0" relativeIndent="255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relativeIndent="255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  <alignment horizontal="center" vertical="center" textRotation="0" wrapText="0" indent="0" relativeIndent="255" justifyLastLine="0" shrinkToFit="0" readingOrder="0"/>
    </dxf>
    <dxf>
      <numFmt numFmtId="0" formatCode="General"/>
      <alignment horizontal="center" vertical="center" textRotation="0" wrapText="0" indent="0" relativeIndent="255" justifyLastLine="0" shrinkToFit="0" readingOrder="0"/>
    </dxf>
    <dxf>
      <numFmt numFmtId="0" formatCode="General"/>
      <alignment horizontal="center" vertical="center" textRotation="0" indent="0" relativeIndent="255" justifyLastLine="0" shrinkToFit="0" readingOrder="0"/>
    </dxf>
    <dxf>
      <alignment horizontal="general" vertical="bottom" textRotation="0" wrapText="1" indent="0" relativeIndent="255" justifyLastLine="0" shrinkToFit="0" readingOrder="0"/>
    </dxf>
    <dxf>
      <alignment horizontal="general" vertical="bottom" textRotation="0" wrapText="1" indent="0" relativeIndent="255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relativeIndent="255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relativeIndent="255" justifyLastLine="0" shrinkToFit="0" readingOrder="0"/>
    </dxf>
    <dxf>
      <numFmt numFmtId="0" formatCode="General"/>
      <alignment horizontal="center" vertical="center" textRotation="0" wrapText="1" indent="0" relativeIndent="255" justifyLastLine="0" shrinkToFit="0" readingOrder="0"/>
    </dxf>
    <dxf>
      <alignment horizontal="general" vertical="bottom" textRotation="0" wrapText="1" indent="0" relativeIndent="255" justifyLastLine="0" shrinkToFit="0" readingOrder="0"/>
    </dxf>
    <dxf>
      <alignment horizontal="general" vertical="bottom" textRotation="0" wrapText="1" indent="0" relativeIndent="255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relativeIndent="255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1" indent="0" relativeIndent="255" justifyLastLine="0" shrinkToFit="0" readingOrder="0"/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1" indent="0" relativeIndent="255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1" indent="0" relativeIndent="255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1" indent="0" relativeIndent="255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0" formatCode="General"/>
      <alignment horizontal="center" vertical="center" textRotation="0" wrapText="1" indent="0" relativeIndent="255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alignment horizontal="general" vertical="bottom" textRotation="0" wrapText="1" indent="0" relativeIndent="255" justifyLastLine="0" shrinkToFit="0" readingOrder="0"/>
    </dxf>
    <dxf>
      <alignment horizontal="general" vertical="bottom" textRotation="0" wrapText="1" indent="0" relativeIndent="255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relativeIndent="255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  <alignment horizontal="center" vertical="center" textRotation="0" wrapText="1" indent="0" relativeIndent="255" justifyLastLine="0" shrinkToFit="0" readingOrder="0"/>
    </dxf>
    <dxf>
      <numFmt numFmtId="0" formatCode="General"/>
      <alignment horizontal="center" vertical="center" textRotation="0" wrapText="1" indent="0" relativeIndent="255" justifyLastLine="0" shrinkToFit="0" readingOrder="0"/>
    </dxf>
    <dxf>
      <numFmt numFmtId="0" formatCode="General"/>
      <alignment horizontal="center" vertical="center" textRotation="0" wrapText="1" indent="0" relativeIndent="255" justifyLastLine="0" shrinkToFit="0" readingOrder="0"/>
    </dxf>
    <dxf>
      <numFmt numFmtId="0" formatCode="General"/>
      <alignment horizontal="center" vertical="center" textRotation="0" wrapText="1" indent="0" relativeIndent="255" justifyLastLine="0" shrinkToFit="0" readingOrder="0"/>
    </dxf>
    <dxf>
      <numFmt numFmtId="0" formatCode="General"/>
      <alignment horizontal="center" vertical="center" textRotation="0" wrapText="1" indent="0" relativeIndent="255" justifyLastLine="0" shrinkToFit="0" readingOrder="0"/>
    </dxf>
    <dxf>
      <alignment horizontal="general" vertical="bottom" textRotation="0" wrapText="1" indent="0" relativeIndent="255" justifyLastLine="0" shrinkToFit="0" readingOrder="0"/>
    </dxf>
    <dxf>
      <alignment horizontal="general" vertical="bottom" textRotation="0" wrapText="1" indent="0" relativeIndent="255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relativeIndent="255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  <alignment horizontal="center" vertical="center" textRotation="0" wrapText="0" indent="0" relativeIndent="255" justifyLastLine="0" shrinkToFit="0" readingOrder="0"/>
    </dxf>
    <dxf>
      <numFmt numFmtId="0" formatCode="General"/>
      <alignment horizontal="center" vertical="center" textRotation="0" wrapText="0" indent="0" relativeIndent="255" justifyLastLine="0" shrinkToFit="0" readingOrder="0"/>
    </dxf>
    <dxf>
      <numFmt numFmtId="0" formatCode="General"/>
      <alignment horizontal="center" vertical="center" textRotation="0" indent="0" relativeIndent="255" justifyLastLine="0" shrinkToFit="0" readingOrder="0"/>
    </dxf>
    <dxf>
      <alignment horizontal="general" vertical="bottom" textRotation="0" wrapText="1" indent="0" relativeIndent="255" justifyLastLine="0" shrinkToFit="0" readingOrder="0"/>
    </dxf>
    <dxf>
      <alignment horizontal="general" vertical="bottom" textRotation="0" wrapText="1" indent="0" relativeIndent="255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relativeIndent="255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relativeIndent="255" justifyLastLine="0" shrinkToFit="0" readingOrder="0"/>
    </dxf>
    <dxf>
      <numFmt numFmtId="0" formatCode="General"/>
      <alignment horizontal="center" vertical="center" textRotation="0" wrapText="1" indent="0" relativeIndent="255" justifyLastLine="0" shrinkToFit="0" readingOrder="0"/>
    </dxf>
    <dxf>
      <alignment horizontal="general" vertical="bottom" textRotation="0" wrapText="1" indent="0" relativeIndent="255" justifyLastLine="0" shrinkToFit="0" readingOrder="0"/>
    </dxf>
    <dxf>
      <alignment horizontal="general" vertical="bottom" textRotation="0" wrapText="1" indent="0" relativeIndent="255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relativeIndent="255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1" indent="0" relativeIndent="255" justifyLastLine="0" shrinkToFit="0" readingOrder="0"/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1" indent="0" relativeIndent="255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1" indent="0" relativeIndent="255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1" indent="0" relativeIndent="255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0" formatCode="General"/>
      <alignment horizontal="center" vertical="center" textRotation="0" wrapText="1" indent="0" relativeIndent="255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alignment horizontal="general" vertical="bottom" textRotation="0" wrapText="1" indent="0" relativeIndent="255" justifyLastLine="0" shrinkToFit="0" readingOrder="0"/>
    </dxf>
    <dxf>
      <alignment horizontal="general" vertical="bottom" textRotation="0" wrapText="1" indent="0" relativeIndent="255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relativeIndent="255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  <alignment horizontal="center" vertical="center" textRotation="0" wrapText="1" indent="0" relativeIndent="255" justifyLastLine="0" shrinkToFit="0" readingOrder="0"/>
    </dxf>
    <dxf>
      <numFmt numFmtId="0" formatCode="General"/>
      <alignment horizontal="center" vertical="center" textRotation="0" wrapText="1" indent="0" relativeIndent="255" justifyLastLine="0" shrinkToFit="0" readingOrder="0"/>
    </dxf>
    <dxf>
      <numFmt numFmtId="0" formatCode="General"/>
      <alignment horizontal="center" vertical="center" textRotation="0" wrapText="1" indent="0" relativeIndent="255" justifyLastLine="0" shrinkToFit="0" readingOrder="0"/>
    </dxf>
    <dxf>
      <numFmt numFmtId="0" formatCode="General"/>
      <alignment horizontal="center" vertical="center" textRotation="0" wrapText="1" indent="0" relativeIndent="255" justifyLastLine="0" shrinkToFit="0" readingOrder="0"/>
    </dxf>
    <dxf>
      <numFmt numFmtId="0" formatCode="General"/>
      <alignment horizontal="center" vertical="center" textRotation="0" wrapText="1" indent="0" relativeIndent="255" justifyLastLine="0" shrinkToFit="0" readingOrder="0"/>
    </dxf>
    <dxf>
      <alignment horizontal="general" vertical="bottom" textRotation="0" wrapText="1" indent="0" relativeIndent="255" justifyLastLine="0" shrinkToFit="0" readingOrder="0"/>
    </dxf>
    <dxf>
      <alignment horizontal="general" vertical="bottom" textRotation="0" wrapText="1" indent="0" relativeIndent="255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relativeIndent="255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  <alignment horizontal="center" vertical="center" textRotation="0" wrapText="0" indent="0" relativeIndent="255" justifyLastLine="0" shrinkToFit="0" readingOrder="0"/>
    </dxf>
    <dxf>
      <numFmt numFmtId="0" formatCode="General"/>
      <alignment horizontal="center" vertical="center" textRotation="0" wrapText="0" indent="0" relativeIndent="255" justifyLastLine="0" shrinkToFit="0" readingOrder="0"/>
    </dxf>
    <dxf>
      <numFmt numFmtId="0" formatCode="General"/>
      <alignment horizontal="center" vertical="center" textRotation="0" indent="0" relativeIndent="255" justifyLastLine="0" shrinkToFit="0" readingOrder="0"/>
    </dxf>
    <dxf>
      <alignment horizontal="general" vertical="bottom" textRotation="0" wrapText="1" indent="0" relativeIndent="255" justifyLastLine="0" shrinkToFit="0" readingOrder="0"/>
    </dxf>
    <dxf>
      <alignment horizontal="general" vertical="bottom" textRotation="0" wrapText="1" indent="0" relativeIndent="255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relativeIndent="255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relativeIndent="255" justifyLastLine="0" shrinkToFit="0" readingOrder="0"/>
    </dxf>
    <dxf>
      <numFmt numFmtId="0" formatCode="General"/>
      <alignment horizontal="center" vertical="center" textRotation="0" wrapText="1" indent="0" relativeIndent="255" justifyLastLine="0" shrinkToFit="0" readingOrder="0"/>
    </dxf>
    <dxf>
      <alignment horizontal="general" vertical="bottom" textRotation="0" wrapText="1" indent="0" relativeIndent="255" justifyLastLine="0" shrinkToFit="0" readingOrder="0"/>
    </dxf>
    <dxf>
      <alignment horizontal="general" vertical="bottom" textRotation="0" wrapText="1" indent="0" relativeIndent="255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relativeIndent="255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1" indent="0" relativeIndent="255" justifyLastLine="0" shrinkToFit="0" readingOrder="0"/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1" indent="0" relativeIndent="255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1" indent="0" relativeIndent="255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1" indent="0" relativeIndent="255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0" formatCode="General"/>
      <alignment horizontal="center" vertical="center" textRotation="0" wrapText="1" indent="0" relativeIndent="255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alignment horizontal="general" vertical="bottom" textRotation="0" wrapText="1" indent="0" relativeIndent="255" justifyLastLine="0" shrinkToFit="0" readingOrder="0"/>
    </dxf>
    <dxf>
      <alignment horizontal="general" vertical="bottom" textRotation="0" wrapText="1" indent="0" relativeIndent="255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relativeIndent="255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relativeIndent="255" justifyLastLine="0" shrinkToFit="0" readingOrder="0"/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relativeIndent="255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relativeIndent="255" justifyLastLine="0" shrinkToFit="0" readingOrder="0"/>
      <border diagonalUp="0" diagonalDown="0">
        <left style="medium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relativeIndent="255" justifyLastLine="0" shrinkToFit="0" readingOrder="0"/>
      <border diagonalUp="0" diagonalDown="0">
        <left style="medium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1" indent="0" relativeIndent="255" justifyLastLine="0" shrinkToFit="0" readingOrder="0"/>
    </dxf>
    <dxf>
      <numFmt numFmtId="0" formatCode="General"/>
      <alignment horizontal="center" vertical="center" textRotation="0" wrapText="1" indent="0" relativeIndent="255" justifyLastLine="0" shrinkToFit="0" readingOrder="0"/>
    </dxf>
    <dxf>
      <numFmt numFmtId="0" formatCode="General"/>
      <alignment horizontal="center" vertical="center" textRotation="0" wrapText="1" indent="0" relativeIndent="255" justifyLastLine="0" shrinkToFit="0" readingOrder="0"/>
    </dxf>
    <dxf>
      <numFmt numFmtId="0" formatCode="General"/>
      <alignment horizontal="center" vertical="center" textRotation="0" wrapText="1" indent="0" relativeIndent="255" justifyLastLine="0" shrinkToFit="0" readingOrder="0"/>
    </dxf>
    <dxf>
      <numFmt numFmtId="0" formatCode="General"/>
      <alignment horizontal="center" vertical="center" textRotation="0" wrapText="1" indent="0" relativeIndent="255" justifyLastLine="0" shrinkToFit="0" readingOrder="0"/>
    </dxf>
    <dxf>
      <numFmt numFmtId="0" formatCode="General"/>
      <alignment horizontal="center" vertical="center" textRotation="0" wrapText="1" indent="0" relativeIndent="255" justifyLastLine="0" shrinkToFit="0" readingOrder="0"/>
    </dxf>
    <dxf>
      <alignment horizontal="center" vertical="center" textRotation="0" wrapText="1" indent="0" relativeIndent="255" justifyLastLine="0" shrinkToFit="0" readingOrder="0"/>
    </dxf>
    <dxf>
      <alignment horizontal="center" vertical="center" textRotation="0" wrapText="1" indent="0" relativeIndent="255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relativeIndent="255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alignment horizontal="center" vertical="center" textRotation="0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indent="0" relativeIndent="255" justifyLastLine="0" shrinkToFit="0" readingOrder="0"/>
    </dxf>
    <dxf>
      <numFmt numFmtId="0" formatCode="General"/>
      <alignment horizontal="center" vertical="center" textRotation="0" indent="0" relativeIndent="255" justifyLastLine="0" shrinkToFit="0" readingOrder="0"/>
    </dxf>
    <dxf>
      <numFmt numFmtId="0" formatCode="General"/>
      <alignment horizontal="center" vertical="center" textRotation="0" indent="0" relativeIndent="255" justifyLastLine="0" shrinkToFit="0" readingOrder="0"/>
    </dxf>
    <dxf>
      <numFmt numFmtId="0" formatCode="General"/>
      <alignment horizontal="center" vertical="center" textRotation="0" indent="0" relativeIndent="255" justifyLastLine="0" shrinkToFit="0" readingOrder="0"/>
    </dxf>
    <dxf>
      <alignment horizontal="center" vertical="center" textRotation="0" wrapText="1" indent="0" relativeIndent="255" justifyLastLine="0" shrinkToFit="0" readingOrder="0"/>
    </dxf>
    <dxf>
      <alignment horizontal="center" vertical="center" textRotation="0" wrapText="1" indent="0" relativeIndent="255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relativeIndent="255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alignment horizontal="center" vertical="center" textRotation="0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indent="0" relativeIndent="255" justifyLastLine="0" shrinkToFit="0" readingOrder="0"/>
    </dxf>
    <dxf>
      <numFmt numFmtId="0" formatCode="General"/>
      <alignment horizontal="center" vertical="center" textRotation="0" wrapText="1" indent="0" relativeIndent="255" justifyLastLine="0" shrinkToFit="0" readingOrder="0"/>
    </dxf>
    <dxf>
      <numFmt numFmtId="0" formatCode="General"/>
      <alignment horizontal="center" vertical="center" textRotation="0" wrapText="1" indent="0" relativeIndent="255" justifyLastLine="0" shrinkToFit="0" readingOrder="0"/>
    </dxf>
    <dxf>
      <numFmt numFmtId="0" formatCode="General"/>
      <alignment horizontal="center" vertical="center" textRotation="0" wrapText="1" indent="0" relativeIndent="255" justifyLastLine="0" shrinkToFit="0" readingOrder="0"/>
    </dxf>
    <dxf>
      <numFmt numFmtId="0" formatCode="General"/>
      <alignment horizontal="center" vertical="center" textRotation="0" wrapText="1" indent="0" relativeIndent="255" justifyLastLine="0" shrinkToFit="0" readingOrder="0"/>
    </dxf>
    <dxf>
      <numFmt numFmtId="0" formatCode="General"/>
      <alignment horizontal="center" vertical="center" textRotation="0" wrapText="1" indent="0" relativeIndent="255" justifyLastLine="0" shrinkToFit="0" readingOrder="0"/>
    </dxf>
    <dxf>
      <alignment horizontal="center" vertical="center" textRotation="0" wrapText="1" indent="0" relativeIndent="255" justifyLastLine="0" shrinkToFit="0" readingOrder="0"/>
    </dxf>
    <dxf>
      <alignment horizontal="center" vertical="center" textRotation="0" wrapText="1" indent="0" relativeIndent="255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relativeIndent="255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alignment horizontal="center" vertical="center" textRotation="0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relativeIndent="255" justifyLastLine="0" shrinkToFit="0" readingOrder="0"/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relativeIndent="255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relativeIndent="255" justifyLastLine="0" shrinkToFit="0" readingOrder="0"/>
      <border diagonalUp="0" diagonalDown="0">
        <left style="medium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relativeIndent="255" justifyLastLine="0" shrinkToFit="0" readingOrder="0"/>
      <border diagonalUp="0" diagonalDown="0">
        <left style="medium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1" indent="0" relativeIndent="255" justifyLastLine="0" shrinkToFit="0" readingOrder="0"/>
    </dxf>
    <dxf>
      <numFmt numFmtId="0" formatCode="General"/>
      <alignment horizontal="center" vertical="center" textRotation="0" wrapText="1" indent="0" relativeIndent="255" justifyLastLine="0" shrinkToFit="0" readingOrder="0"/>
    </dxf>
    <dxf>
      <numFmt numFmtId="0" formatCode="General"/>
      <alignment horizontal="center" vertical="center" textRotation="0" wrapText="1" indent="0" relativeIndent="255" justifyLastLine="0" shrinkToFit="0" readingOrder="0"/>
    </dxf>
    <dxf>
      <numFmt numFmtId="0" formatCode="General"/>
      <alignment horizontal="center" vertical="center" textRotation="0" wrapText="1" indent="0" relativeIndent="255" justifyLastLine="0" shrinkToFit="0" readingOrder="0"/>
    </dxf>
    <dxf>
      <numFmt numFmtId="0" formatCode="General"/>
      <alignment horizontal="center" vertical="center" textRotation="0" wrapText="1" indent="0" relativeIndent="255" justifyLastLine="0" shrinkToFit="0" readingOrder="0"/>
    </dxf>
    <dxf>
      <numFmt numFmtId="0" formatCode="General"/>
      <alignment horizontal="center" vertical="center" textRotation="0" wrapText="1" indent="0" relativeIndent="255" justifyLastLine="0" shrinkToFit="0" readingOrder="0"/>
    </dxf>
    <dxf>
      <alignment horizontal="center" vertical="center" textRotation="0" wrapText="1" indent="0" relativeIndent="255" justifyLastLine="0" shrinkToFit="0" readingOrder="0"/>
    </dxf>
    <dxf>
      <alignment horizontal="center" vertical="center" textRotation="0" wrapText="1" indent="0" relativeIndent="255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relativeIndent="255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alignment horizontal="center" vertical="center" textRotation="0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indent="0" relativeIndent="255" justifyLastLine="0" shrinkToFit="0" readingOrder="0"/>
    </dxf>
    <dxf>
      <numFmt numFmtId="0" formatCode="General"/>
      <alignment horizontal="center" vertical="center" textRotation="0" indent="0" relativeIndent="255" justifyLastLine="0" shrinkToFit="0" readingOrder="0"/>
    </dxf>
    <dxf>
      <numFmt numFmtId="0" formatCode="General"/>
      <alignment horizontal="center" vertical="center" textRotation="0" indent="0" relativeIndent="255" justifyLastLine="0" shrinkToFit="0" readingOrder="0"/>
    </dxf>
    <dxf>
      <numFmt numFmtId="0" formatCode="General"/>
      <alignment horizontal="center" vertical="center" textRotation="0" indent="0" relativeIndent="255" justifyLastLine="0" shrinkToFit="0" readingOrder="0"/>
    </dxf>
    <dxf>
      <alignment horizontal="center" vertical="center" textRotation="0" wrapText="1" indent="0" relativeIndent="255" justifyLastLine="0" shrinkToFit="0" readingOrder="0"/>
    </dxf>
    <dxf>
      <alignment horizontal="center" vertical="center" textRotation="0" wrapText="1" indent="0" relativeIndent="255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relativeIndent="255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alignment horizontal="center" vertical="center" textRotation="0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indent="0" relativeIndent="255" justifyLastLine="0" shrinkToFit="0" readingOrder="0"/>
    </dxf>
    <dxf>
      <numFmt numFmtId="0" formatCode="General"/>
      <alignment horizontal="center" vertical="center" textRotation="0" wrapText="1" indent="0" relativeIndent="255" justifyLastLine="0" shrinkToFit="0" readingOrder="0"/>
    </dxf>
    <dxf>
      <numFmt numFmtId="0" formatCode="General"/>
      <alignment horizontal="center" vertical="center" textRotation="0" wrapText="1" indent="0" relativeIndent="255" justifyLastLine="0" shrinkToFit="0" readingOrder="0"/>
    </dxf>
    <dxf>
      <numFmt numFmtId="0" formatCode="General"/>
      <alignment horizontal="center" vertical="center" textRotation="0" wrapText="1" indent="0" relativeIndent="255" justifyLastLine="0" shrinkToFit="0" readingOrder="0"/>
    </dxf>
    <dxf>
      <numFmt numFmtId="0" formatCode="General"/>
      <alignment horizontal="center" vertical="center" textRotation="0" wrapText="1" indent="0" relativeIndent="255" justifyLastLine="0" shrinkToFit="0" readingOrder="0"/>
    </dxf>
    <dxf>
      <numFmt numFmtId="0" formatCode="General"/>
      <alignment horizontal="center" vertical="center" textRotation="0" wrapText="1" indent="0" relativeIndent="255" justifyLastLine="0" shrinkToFit="0" readingOrder="0"/>
    </dxf>
    <dxf>
      <alignment horizontal="center" vertical="center" textRotation="0" wrapText="1" indent="0" relativeIndent="255" justifyLastLine="0" shrinkToFit="0" readingOrder="0"/>
    </dxf>
    <dxf>
      <alignment horizontal="center" vertical="center" textRotation="0" wrapText="1" indent="0" relativeIndent="255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relativeIndent="255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alignment horizontal="center" vertical="center" textRotation="0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relativeIndent="255" justifyLastLine="0" shrinkToFit="0" readingOrder="0"/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relativeIndent="255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relativeIndent="255" justifyLastLine="0" shrinkToFit="0" readingOrder="0"/>
      <border diagonalUp="0" diagonalDown="0">
        <left style="medium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relativeIndent="255" justifyLastLine="0" shrinkToFit="0" readingOrder="0"/>
      <border diagonalUp="0" diagonalDown="0">
        <left style="medium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1" indent="0" relativeIndent="255" justifyLastLine="0" shrinkToFit="0" readingOrder="0"/>
    </dxf>
    <dxf>
      <numFmt numFmtId="0" formatCode="General"/>
      <alignment horizontal="center" vertical="center" textRotation="0" wrapText="1" indent="0" relativeIndent="255" justifyLastLine="0" shrinkToFit="0" readingOrder="0"/>
    </dxf>
    <dxf>
      <numFmt numFmtId="0" formatCode="General"/>
      <alignment horizontal="center" vertical="center" textRotation="0" wrapText="1" indent="0" relativeIndent="255" justifyLastLine="0" shrinkToFit="0" readingOrder="0"/>
    </dxf>
    <dxf>
      <numFmt numFmtId="0" formatCode="General"/>
      <alignment horizontal="center" vertical="center" textRotation="0" wrapText="1" indent="0" relativeIndent="255" justifyLastLine="0" shrinkToFit="0" readingOrder="0"/>
    </dxf>
    <dxf>
      <numFmt numFmtId="0" formatCode="General"/>
      <alignment horizontal="center" vertical="center" textRotation="0" wrapText="1" indent="0" relativeIndent="255" justifyLastLine="0" shrinkToFit="0" readingOrder="0"/>
    </dxf>
    <dxf>
      <numFmt numFmtId="0" formatCode="General"/>
      <alignment horizontal="center" vertical="center" textRotation="0" wrapText="1" indent="0" relativeIndent="255" justifyLastLine="0" shrinkToFit="0" readingOrder="0"/>
    </dxf>
    <dxf>
      <alignment horizontal="center" vertical="center" textRotation="0" wrapText="1" indent="0" relativeIndent="255" justifyLastLine="0" shrinkToFit="0" readingOrder="0"/>
    </dxf>
    <dxf>
      <alignment horizontal="center" vertical="center" textRotation="0" wrapText="1" indent="0" relativeIndent="255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relativeIndent="255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alignment horizontal="center" vertical="center" textRotation="0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indent="0" relativeIndent="255" justifyLastLine="0" shrinkToFit="0" readingOrder="0"/>
    </dxf>
    <dxf>
      <numFmt numFmtId="0" formatCode="General"/>
      <alignment horizontal="center" vertical="center" textRotation="0" indent="0" relativeIndent="255" justifyLastLine="0" shrinkToFit="0" readingOrder="0"/>
    </dxf>
    <dxf>
      <numFmt numFmtId="0" formatCode="General"/>
      <alignment horizontal="center" vertical="center" textRotation="0" indent="0" relativeIndent="255" justifyLastLine="0" shrinkToFit="0" readingOrder="0"/>
    </dxf>
    <dxf>
      <numFmt numFmtId="0" formatCode="General"/>
      <alignment horizontal="center" vertical="center" textRotation="0" indent="0" relativeIndent="255" justifyLastLine="0" shrinkToFit="0" readingOrder="0"/>
    </dxf>
    <dxf>
      <alignment horizontal="center" vertical="center" textRotation="0" wrapText="1" indent="0" relativeIndent="255" justifyLastLine="0" shrinkToFit="0" readingOrder="0"/>
    </dxf>
    <dxf>
      <alignment horizontal="center" vertical="center" textRotation="0" wrapText="1" indent="0" relativeIndent="255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relativeIndent="255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alignment horizontal="center" vertical="center" textRotation="0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indent="0" relativeIndent="255" justifyLastLine="0" shrinkToFit="0" readingOrder="0"/>
    </dxf>
    <dxf>
      <numFmt numFmtId="0" formatCode="General"/>
      <alignment horizontal="center" vertical="center" textRotation="0" wrapText="1" indent="0" relativeIndent="255" justifyLastLine="0" shrinkToFit="0" readingOrder="0"/>
    </dxf>
    <dxf>
      <numFmt numFmtId="0" formatCode="General"/>
      <alignment horizontal="center" vertical="center" textRotation="0" wrapText="1" indent="0" relativeIndent="255" justifyLastLine="0" shrinkToFit="0" readingOrder="0"/>
    </dxf>
    <dxf>
      <numFmt numFmtId="0" formatCode="General"/>
      <alignment horizontal="center" vertical="center" textRotation="0" wrapText="1" indent="0" relativeIndent="255" justifyLastLine="0" shrinkToFit="0" readingOrder="0"/>
    </dxf>
    <dxf>
      <numFmt numFmtId="0" formatCode="General"/>
      <alignment horizontal="center" vertical="center" textRotation="0" wrapText="1" indent="0" relativeIndent="255" justifyLastLine="0" shrinkToFit="0" readingOrder="0"/>
    </dxf>
    <dxf>
      <numFmt numFmtId="0" formatCode="General"/>
      <alignment horizontal="center" vertical="center" textRotation="0" wrapText="1" indent="0" relativeIndent="255" justifyLastLine="0" shrinkToFit="0" readingOrder="0"/>
    </dxf>
    <dxf>
      <alignment horizontal="center" vertical="center" textRotation="0" wrapText="1" indent="0" relativeIndent="255" justifyLastLine="0" shrinkToFit="0" readingOrder="0"/>
    </dxf>
    <dxf>
      <alignment horizontal="center" vertical="center" textRotation="0" wrapText="1" indent="0" relativeIndent="255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relativeIndent="255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alignment horizontal="center" vertical="center" textRotation="0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indent="0" relativeIndent="255" justifyLastLine="0" shrinkToFit="0" readingOrder="0"/>
    </dxf>
    <dxf>
      <alignment horizontal="center" textRotation="0" wrapText="1" indent="0" relativeIndent="255" justifyLastLine="0" shrinkToFit="0" readingOrder="0"/>
    </dxf>
    <dxf>
      <alignment horizontal="center" textRotation="0" wrapText="1" indent="0" relativeIndent="255" justifyLastLine="0" shrinkToFit="0" readingOrder="0"/>
    </dxf>
    <dxf>
      <alignment horizontal="center" textRotation="0" wrapText="1" indent="0" relativeIndent="255" justifyLastLine="0" shrinkToFit="0" readingOrder="0"/>
    </dxf>
    <dxf>
      <alignment horizontal="center" textRotation="0" wrapText="1" indent="0" relativeIndent="255" justifyLastLine="0" shrinkToFit="0" readingOrder="0"/>
    </dxf>
    <dxf>
      <alignment horizontal="center" textRotation="0" wrapText="1" indent="0" relativeIndent="255" justifyLastLine="0" shrinkToFit="0" readingOrder="0"/>
    </dxf>
    <dxf>
      <alignment horizontal="center" textRotation="0" wrapText="1" indent="0" relativeIndent="255" justifyLastLine="0" shrinkToFit="0" readingOrder="0"/>
    </dxf>
    <dxf>
      <alignment horizontal="center" textRotation="0" wrapText="1" indent="0" relativeIndent="255" justifyLastLine="0" shrinkToFit="0" readingOrder="0"/>
    </dxf>
    <dxf>
      <alignment horizontal="center" textRotation="0" wrapText="1" indent="0" relativeIndent="255" justifyLastLine="0" shrinkToFit="0" readingOrder="0"/>
    </dxf>
    <dxf>
      <alignment horizontal="center" textRotation="0" wrapText="1" indent="0" relativeIndent="255" justifyLastLine="0" shrinkToFit="0" readingOrder="0"/>
    </dxf>
    <dxf>
      <alignment horizontal="center" textRotation="0" wrapText="1" indent="0" relativeIndent="255" justifyLastLine="0" shrinkToFit="0" readingOrder="0"/>
    </dxf>
    <dxf>
      <alignment horizontal="center" textRotation="0" wrapText="1" indent="0" relativeIndent="255" justifyLastLine="0" shrinkToFit="0" readingOrder="0"/>
    </dxf>
    <dxf>
      <alignment horizontal="center" textRotation="0" wrapText="1" indent="0" relativeIndent="255" justifyLastLine="0" shrinkToFit="0" readingOrder="0"/>
    </dxf>
    <dxf>
      <alignment horizontal="center" textRotation="0" wrapText="1" indent="0" relativeIndent="255" justifyLastLine="0" shrinkToFit="0" readingOrder="0"/>
    </dxf>
    <dxf>
      <alignment horizontal="center" textRotation="0" wrapText="1" indent="0" relativeIndent="255" justifyLastLine="0" shrinkToFit="0" readingOrder="0"/>
    </dxf>
    <dxf>
      <alignment horizontal="center" vertical="center" textRotation="0" wrapText="1" indent="0" relativeIndent="255" justifyLastLine="0" shrinkToFit="0" readingOrder="0"/>
    </dxf>
    <dxf>
      <alignment horizontal="center" textRotation="0" wrapText="1" indent="0" relativeIndent="255" justifyLastLine="0" shrinkToFit="0" readingOrder="0"/>
    </dxf>
    <dxf>
      <alignment horizontal="center" textRotation="0" wrapText="1" indent="0" relativeIndent="255" justifyLastLine="0" shrinkToFit="0" readingOrder="0"/>
    </dxf>
    <dxf>
      <alignment horizontal="center" textRotation="0" wrapText="1" indent="0" relativeIndent="255" justifyLastLine="0" shrinkToFit="0" readingOrder="0"/>
    </dxf>
    <dxf>
      <alignment horizontal="center" textRotation="0" wrapText="1" indent="0" relativeIndent="255" justifyLastLine="0" shrinkToFit="0" readingOrder="0"/>
    </dxf>
    <dxf>
      <alignment horizontal="center" textRotation="0" wrapText="1" indent="0" relativeIndent="255" justifyLastLine="0" shrinkToFit="0" readingOrder="0"/>
    </dxf>
    <dxf>
      <alignment horizontal="center" textRotation="0" wrapText="1" indent="0" relativeIndent="255" justifyLastLine="0" shrinkToFit="0" readingOrder="0"/>
    </dxf>
    <dxf>
      <alignment horizontal="center" textRotation="0" wrapText="1" indent="0" relativeIndent="255" justifyLastLine="0" shrinkToFit="0" readingOrder="0"/>
    </dxf>
    <dxf>
      <alignment horizontal="center" textRotation="0" wrapText="1" indent="0" relativeIndent="255" justifyLastLine="0" shrinkToFit="0" readingOrder="0"/>
    </dxf>
    <dxf>
      <alignment horizontal="center" textRotation="0" wrapText="1" indent="0" relativeIndent="255" justifyLastLine="0" shrinkToFit="0" readingOrder="0"/>
    </dxf>
    <dxf>
      <alignment horizontal="center" textRotation="0" wrapText="1" indent="0" relativeIndent="255" justifyLastLine="0" shrinkToFit="0" readingOrder="0"/>
    </dxf>
    <dxf>
      <alignment horizontal="center" textRotation="0" wrapText="1" indent="0" relativeIndent="255" justifyLastLine="0" shrinkToFit="0" readingOrder="0"/>
    </dxf>
    <dxf>
      <alignment horizontal="center" textRotation="0" wrapText="1" indent="0" relativeIndent="255" justifyLastLine="0" shrinkToFit="0" readingOrder="0"/>
    </dxf>
    <dxf>
      <alignment horizontal="center" textRotation="0" wrapText="1" indent="0" relativeIndent="255" justifyLastLine="0" shrinkToFit="0" readingOrder="0"/>
    </dxf>
    <dxf>
      <alignment horizontal="center" textRotation="0" wrapText="1" indent="0" relativeIndent="255" justifyLastLine="0" shrinkToFit="0" readingOrder="0"/>
    </dxf>
    <dxf>
      <alignment horizontal="center" vertical="center" textRotation="0" wrapText="1" indent="0" relativeIndent="255" justifyLastLine="0" shrinkToFit="0" readingOrder="0"/>
    </dxf>
    <dxf>
      <alignment horizontal="center" textRotation="0" wrapText="1" indent="0" relativeIndent="255" justifyLastLine="0" shrinkToFit="0" readingOrder="0"/>
    </dxf>
    <dxf>
      <alignment horizontal="center" textRotation="0" wrapText="1" indent="0" relativeIndent="255" justifyLastLine="0" shrinkToFit="0" readingOrder="0"/>
    </dxf>
    <dxf>
      <alignment horizontal="center" textRotation="0" wrapText="1" indent="0" relativeIndent="255" justifyLastLine="0" shrinkToFit="0" readingOrder="0"/>
    </dxf>
    <dxf>
      <alignment horizontal="center" textRotation="0" wrapText="1" indent="0" relativeIndent="255" justifyLastLine="0" shrinkToFit="0" readingOrder="0"/>
    </dxf>
    <dxf>
      <alignment horizontal="center" textRotation="0" wrapText="1" indent="0" relativeIndent="255" justifyLastLine="0" shrinkToFit="0" readingOrder="0"/>
    </dxf>
    <dxf>
      <alignment horizontal="center" textRotation="0" wrapText="1" indent="0" relativeIndent="255" justifyLastLine="0" shrinkToFit="0" readingOrder="0"/>
    </dxf>
    <dxf>
      <alignment horizontal="center" textRotation="0" wrapText="1" indent="0" relativeIndent="255" justifyLastLine="0" shrinkToFit="0" readingOrder="0"/>
    </dxf>
    <dxf>
      <alignment horizontal="center" textRotation="0" wrapText="1" indent="0" relativeIndent="255" justifyLastLine="0" shrinkToFit="0" readingOrder="0"/>
    </dxf>
    <dxf>
      <alignment horizontal="center" textRotation="0" wrapText="1" indent="0" relativeIndent="255" justifyLastLine="0" shrinkToFit="0" readingOrder="0"/>
    </dxf>
    <dxf>
      <alignment horizontal="center" textRotation="0" wrapText="1" indent="0" relativeIndent="255" justifyLastLine="0" shrinkToFit="0" readingOrder="0"/>
    </dxf>
    <dxf>
      <alignment horizontal="center" textRotation="0" wrapText="1" indent="0" relativeIndent="255" justifyLastLine="0" shrinkToFit="0" readingOrder="0"/>
    </dxf>
    <dxf>
      <alignment horizontal="center" textRotation="0" wrapText="1" indent="0" relativeIndent="255" justifyLastLine="0" shrinkToFit="0" readingOrder="0"/>
    </dxf>
    <dxf>
      <alignment horizontal="center" textRotation="0" wrapText="1" indent="0" relativeIndent="255" justifyLastLine="0" shrinkToFit="0" readingOrder="0"/>
    </dxf>
    <dxf>
      <alignment horizontal="center" textRotation="0" wrapText="1" indent="0" relativeIndent="255" justifyLastLine="0" shrinkToFit="0" readingOrder="0"/>
    </dxf>
    <dxf>
      <alignment horizontal="center" vertical="center" textRotation="0" wrapText="1" indent="0" relativeIndent="255" justifyLastLine="0" shrinkToFit="0" readingOrder="0"/>
    </dxf>
    <dxf>
      <alignment horizontal="center" textRotation="0" wrapText="1" indent="0" relativeIndent="255" justifyLastLine="0" shrinkToFit="0" readingOrder="0"/>
    </dxf>
    <dxf>
      <alignment horizontal="center" textRotation="0" wrapText="1" indent="0" relativeIndent="255" justifyLastLine="0" shrinkToFit="0" readingOrder="0"/>
    </dxf>
    <dxf>
      <alignment horizontal="center" textRotation="0" wrapText="1" indent="0" relativeIndent="255" justifyLastLine="0" shrinkToFit="0" readingOrder="0"/>
    </dxf>
    <dxf>
      <alignment horizontal="center" textRotation="0" wrapText="1" indent="0" relativeIndent="255" justifyLastLine="0" shrinkToFit="0" readingOrder="0"/>
    </dxf>
    <dxf>
      <alignment horizontal="center" textRotation="0" wrapText="1" indent="0" relativeIndent="255" justifyLastLine="0" shrinkToFit="0" readingOrder="0"/>
    </dxf>
    <dxf>
      <alignment horizontal="center" textRotation="0" wrapText="1" indent="0" relativeIndent="255" justifyLastLine="0" shrinkToFit="0" readingOrder="0"/>
    </dxf>
    <dxf>
      <alignment horizontal="center" textRotation="0" wrapText="1" indent="0" relativeIndent="255" justifyLastLine="0" shrinkToFit="0" readingOrder="0"/>
    </dxf>
    <dxf>
      <alignment horizontal="center" textRotation="0" wrapText="1" indent="0" relativeIndent="255" justifyLastLine="0" shrinkToFit="0" readingOrder="0"/>
    </dxf>
    <dxf>
      <alignment horizontal="center" textRotation="0" wrapText="1" indent="0" relativeIndent="255" justifyLastLine="0" shrinkToFit="0" readingOrder="0"/>
    </dxf>
    <dxf>
      <alignment horizontal="center" textRotation="0" wrapText="1" indent="0" relativeIndent="255" justifyLastLine="0" shrinkToFit="0" readingOrder="0"/>
    </dxf>
    <dxf>
      <alignment horizontal="center" textRotation="0" wrapText="1" indent="0" relativeIndent="255" justifyLastLine="0" shrinkToFit="0" readingOrder="0"/>
    </dxf>
    <dxf>
      <alignment horizontal="center" textRotation="0" wrapText="1" indent="0" relativeIndent="255" justifyLastLine="0" shrinkToFit="0" readingOrder="0"/>
    </dxf>
    <dxf>
      <alignment horizontal="center" textRotation="0" wrapText="1" indent="0" relativeIndent="255" justifyLastLine="0" shrinkToFit="0" readingOrder="0"/>
    </dxf>
    <dxf>
      <alignment horizontal="center" textRotation="0" wrapText="1" indent="0" relativeIndent="255" justifyLastLine="0" shrinkToFit="0" readingOrder="0"/>
    </dxf>
    <dxf>
      <alignment horizontal="center" vertical="center" textRotation="0" wrapText="1" indent="0" relativeIndent="255" justifyLastLine="0" shrinkToFit="0" readingOrder="0"/>
    </dxf>
    <dxf>
      <alignment horizontal="center" textRotation="0" wrapText="1" indent="0" relativeIndent="255" justifyLastLine="0" shrinkToFit="0" readingOrder="0"/>
    </dxf>
    <dxf>
      <alignment horizontal="center" textRotation="0" wrapText="1" indent="0" relativeIndent="255" justifyLastLine="0" shrinkToFit="0" readingOrder="0"/>
    </dxf>
    <dxf>
      <alignment horizontal="center" textRotation="0" wrapText="1" indent="0" relativeIndent="255" justifyLastLine="0" shrinkToFit="0" readingOrder="0"/>
    </dxf>
    <dxf>
      <alignment horizontal="center" textRotation="0" wrapText="1" indent="0" relativeIndent="255" justifyLastLine="0" shrinkToFit="0" readingOrder="0"/>
    </dxf>
    <dxf>
      <alignment horizontal="center" textRotation="0" wrapText="1" indent="0" relativeIndent="255" justifyLastLine="0" shrinkToFit="0" readingOrder="0"/>
    </dxf>
    <dxf>
      <alignment horizontal="center" textRotation="0" wrapText="1" indent="0" relativeIndent="255" justifyLastLine="0" shrinkToFit="0" readingOrder="0"/>
    </dxf>
    <dxf>
      <alignment horizontal="center" textRotation="0" wrapText="1" indent="0" relativeIndent="255" justifyLastLine="0" shrinkToFit="0" readingOrder="0"/>
    </dxf>
    <dxf>
      <alignment horizontal="center" textRotation="0" wrapText="1" indent="0" relativeIndent="255" justifyLastLine="0" shrinkToFit="0" readingOrder="0"/>
    </dxf>
    <dxf>
      <alignment horizontal="center" textRotation="0" wrapText="1" indent="0" relativeIndent="255" justifyLastLine="0" shrinkToFit="0" readingOrder="0"/>
    </dxf>
    <dxf>
      <alignment horizontal="center" textRotation="0" wrapText="1" indent="0" relativeIndent="255" justifyLastLine="0" shrinkToFit="0" readingOrder="0"/>
    </dxf>
    <dxf>
      <alignment horizontal="center" textRotation="0" wrapText="1" indent="0" relativeIndent="255" justifyLastLine="0" shrinkToFit="0" readingOrder="0"/>
    </dxf>
    <dxf>
      <alignment horizontal="center" textRotation="0" wrapText="1" indent="0" relativeIndent="255" justifyLastLine="0" shrinkToFit="0" readingOrder="0"/>
    </dxf>
    <dxf>
      <alignment horizontal="center" textRotation="0" wrapText="1" indent="0" relativeIndent="255" justifyLastLine="0" shrinkToFit="0" readingOrder="0"/>
    </dxf>
    <dxf>
      <alignment horizontal="center" textRotation="0" wrapText="1" indent="0" relativeIndent="255" justifyLastLine="0" shrinkToFit="0" readingOrder="0"/>
    </dxf>
    <dxf>
      <alignment horizontal="center" vertical="center" textRotation="0" wrapText="1" indent="0" relativeIndent="255" justifyLastLine="0" shrinkToFit="0" readingOrder="0"/>
    </dxf>
    <dxf>
      <alignment horizontal="center" textRotation="0" wrapText="1" indent="0" relativeIndent="255" justifyLastLine="0" shrinkToFit="0" readingOrder="0"/>
    </dxf>
    <dxf>
      <alignment horizontal="center" textRotation="0" wrapText="1" indent="0" relativeIndent="255" justifyLastLine="0" shrinkToFit="0" readingOrder="0"/>
    </dxf>
    <dxf>
      <alignment horizontal="center" textRotation="0" wrapText="1" indent="0" relativeIndent="255" justifyLastLine="0" shrinkToFit="0" readingOrder="0"/>
    </dxf>
    <dxf>
      <alignment horizontal="center" textRotation="0" wrapText="1" indent="0" relativeIndent="255" justifyLastLine="0" shrinkToFit="0" readingOrder="0"/>
    </dxf>
    <dxf>
      <alignment horizontal="center" textRotation="0" wrapText="1" indent="0" relativeIndent="255" justifyLastLine="0" shrinkToFit="0" readingOrder="0"/>
    </dxf>
    <dxf>
      <alignment horizontal="center" textRotation="0" wrapText="1" indent="0" relativeIndent="255" justifyLastLine="0" shrinkToFit="0" readingOrder="0"/>
    </dxf>
    <dxf>
      <alignment horizontal="center" textRotation="0" wrapText="1" indent="0" relativeIndent="255" justifyLastLine="0" shrinkToFit="0" readingOrder="0"/>
    </dxf>
    <dxf>
      <alignment horizontal="center" textRotation="0" wrapText="1" indent="0" relativeIndent="255" justifyLastLine="0" shrinkToFit="0" readingOrder="0"/>
    </dxf>
    <dxf>
      <alignment horizontal="center" textRotation="0" wrapText="1" indent="0" relativeIndent="255" justifyLastLine="0" shrinkToFit="0" readingOrder="0"/>
    </dxf>
    <dxf>
      <alignment horizontal="center" textRotation="0" wrapText="1" indent="0" relativeIndent="255" justifyLastLine="0" shrinkToFit="0" readingOrder="0"/>
    </dxf>
    <dxf>
      <alignment horizontal="center" textRotation="0" wrapText="1" indent="0" relativeIndent="255" justifyLastLine="0" shrinkToFit="0" readingOrder="0"/>
    </dxf>
    <dxf>
      <alignment horizontal="center" textRotation="0" wrapText="1" indent="0" relativeIndent="255" justifyLastLine="0" shrinkToFit="0" readingOrder="0"/>
    </dxf>
    <dxf>
      <alignment horizontal="center" textRotation="0" wrapText="1" indent="0" relativeIndent="255" justifyLastLine="0" shrinkToFit="0" readingOrder="0"/>
    </dxf>
    <dxf>
      <alignment horizontal="center" textRotation="0" wrapText="1" indent="0" relativeIndent="255" justifyLastLine="0" shrinkToFit="0" readingOrder="0"/>
    </dxf>
    <dxf>
      <alignment horizontal="center" vertical="center" textRotation="0" wrapText="1" indent="0" relativeIndent="255" justifyLastLine="0" shrinkToFit="0" readingOrder="0"/>
    </dxf>
    <dxf>
      <alignment horizontal="center" vertical="bottom" textRotation="0" wrapText="0" indent="0" relativeIndent="255" justifyLastLine="0" shrinkToFit="0" readingOrder="0"/>
    </dxf>
    <dxf>
      <alignment horizontal="center" vertical="bottom" textRotation="0" wrapText="0" indent="0" relativeIndent="255" justifyLastLine="0" shrinkToFit="0" readingOrder="0"/>
    </dxf>
    <dxf>
      <alignment horizontal="center" vertical="bottom" textRotation="0" wrapText="0" indent="0" relativeIndent="255" justifyLastLine="0" shrinkToFit="0" readingOrder="0"/>
    </dxf>
    <dxf>
      <alignment horizontal="center" vertical="bottom" textRotation="0" wrapText="0" indent="0" relativeIndent="255" justifyLastLine="0" shrinkToFit="0" readingOrder="0"/>
    </dxf>
    <dxf>
      <alignment horizontal="center" vertical="bottom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relativeIndent="255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bottom style="medium">
          <color indexed="64"/>
        </bottom>
      </border>
    </dxf>
    <dxf>
      <alignment horizontal="general" vertical="bottom" textRotation="0" wrapText="0" indent="0" relativeIndent="255" justifyLastLine="0" shrinkToFit="0" readingOrder="0"/>
      <border diagonalUp="0" diagonalDown="0" outline="0">
        <left/>
        <right/>
        <top/>
        <bottom/>
      </border>
    </dxf>
    <dxf>
      <alignment horizontal="center" vertical="bottom" textRotation="0" wrapText="0" indent="0" relativeIndent="255" justifyLastLine="0" shrinkToFit="0" readingOrder="0"/>
    </dxf>
    <dxf>
      <alignment horizontal="center" vertical="bottom" textRotation="0" wrapText="0" indent="0" relativeIndent="255" justifyLastLine="0" shrinkToFit="0" readingOrder="0"/>
    </dxf>
    <dxf>
      <alignment horizontal="center" vertical="bottom" textRotation="0" wrapText="0" indent="0" relativeIndent="255" justifyLastLine="0" shrinkToFit="0" readingOrder="0"/>
    </dxf>
    <dxf>
      <alignment horizontal="center" vertical="bottom" textRotation="0" wrapText="0" indent="0" relativeIndent="255" justifyLastLine="0" shrinkToFit="0" readingOrder="0"/>
    </dxf>
    <dxf>
      <alignment horizontal="center" vertical="bottom" textRotation="0" wrapText="0" indent="0" relativeIndent="255" justifyLastLine="0" shrinkToFit="0" readingOrder="0"/>
    </dxf>
    <dxf>
      <alignment horizontal="center" vertical="bottom" textRotation="0" wrapText="0" indent="0" relativeIndent="255" justifyLastLine="0" shrinkToFit="0" readingOrder="0"/>
    </dxf>
    <dxf>
      <font>
        <b/>
      </font>
      <alignment horizontal="center" vertical="bottom" textRotation="0" wrapText="0" indent="0" relativeIndent="255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relativeIndent="255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255" justifyLastLine="0" shrinkToFit="0" readingOrder="0"/>
    </dxf>
    <dxf>
      <alignment horizontal="center" vertical="bottom" textRotation="0" wrapText="0" indent="0" relativeIndent="255" justifyLastLine="0" shrinkToFit="0" readingOrder="0"/>
    </dxf>
    <dxf>
      <alignment horizontal="center" vertical="bottom" textRotation="0" wrapText="0" indent="0" relativeIndent="255" justifyLastLine="0" shrinkToFit="0" readingOrder="0"/>
    </dxf>
    <dxf>
      <alignment horizontal="center" vertical="bottom" textRotation="0" wrapText="0" indent="0" relativeIndent="255" justifyLastLine="0" shrinkToFit="0" readingOrder="0"/>
    </dxf>
    <dxf>
      <alignment horizontal="center" vertical="bottom" textRotation="0" wrapText="0" indent="0" relativeIndent="255" justifyLastLine="0" shrinkToFit="0" readingOrder="0"/>
    </dxf>
    <dxf>
      <alignment horizontal="center" vertical="bottom" textRotation="0" wrapText="0" indent="0" relativeIndent="255" justifyLastLine="0" shrinkToFit="0" readingOrder="0"/>
    </dxf>
    <dxf>
      <alignment horizontal="center" vertical="bottom" textRotation="0" wrapText="0" indent="0" relativeIndent="255" justifyLastLine="0" shrinkToFit="0" readingOrder="0"/>
    </dxf>
    <dxf>
      <font>
        <b/>
      </font>
      <alignment horizontal="center" vertical="bottom" textRotation="0" wrapText="0" indent="0" relativeIndent="255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relativeIndent="255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font>
        <b/>
      </font>
      <alignment horizontal="center" vertical="center" textRotation="0" wrapText="0" indent="0" relativeIndent="255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center" textRotation="0" wrapText="0" indent="0" relativeIndent="255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relativeIndent="255" justifyLastLine="0" shrinkToFit="0" readingOrder="0"/>
    </dxf>
    <dxf>
      <numFmt numFmtId="0" formatCode="General"/>
      <alignment horizontal="center" vertical="center" textRotation="0" indent="0" relativeIndent="255" justifyLastLine="0" shrinkToFit="0" readingOrder="0"/>
    </dxf>
    <dxf>
      <numFmt numFmtId="0" formatCode="General"/>
      <alignment horizontal="center" vertical="center" textRotation="0" indent="0" relativeIndent="255" justifyLastLine="0" shrinkToFit="0" readingOrder="0"/>
    </dxf>
    <dxf>
      <numFmt numFmtId="0" formatCode="General"/>
      <alignment horizontal="center" vertical="center" textRotation="0" indent="0" relativeIndent="255" justifyLastLine="0" shrinkToFit="0" readingOrder="0"/>
    </dxf>
    <dxf>
      <numFmt numFmtId="0" formatCode="General"/>
      <alignment horizontal="center" vertical="center" textRotation="0" indent="0" relativeIndent="255" justifyLastLine="0" shrinkToFit="0" readingOrder="0"/>
    </dxf>
    <dxf>
      <alignment horizontal="center" vertical="center" textRotation="0" indent="0" relativeIndent="255" justifyLastLine="0" shrinkToFit="0" readingOrder="0"/>
    </dxf>
    <dxf>
      <alignment horizontal="center" vertical="center" textRotation="0" indent="0" relativeIndent="255" justifyLastLine="0" shrinkToFit="0" readingOrder="0"/>
    </dxf>
    <dxf>
      <alignment horizontal="center" vertical="center" textRotation="0" indent="0" relativeIndent="255" justifyLastLine="0" shrinkToFit="0" readingOrder="0"/>
    </dxf>
    <dxf>
      <numFmt numFmtId="0" formatCode="General"/>
      <alignment horizontal="center" vertical="center" textRotation="0" indent="0" relativeIndent="255" justifyLastLine="0" shrinkToFit="0" readingOrder="0"/>
    </dxf>
    <dxf>
      <numFmt numFmtId="0" formatCode="General"/>
      <alignment horizontal="center" vertical="center" textRotation="0" indent="0" relativeIndent="255" justifyLastLine="0" shrinkToFit="0" readingOrder="0"/>
    </dxf>
    <dxf>
      <numFmt numFmtId="0" formatCode="General"/>
      <alignment horizontal="center" vertical="center" textRotation="0" indent="0" relativeIndent="255" justifyLastLine="0" shrinkToFit="0" readingOrder="0"/>
    </dxf>
    <dxf>
      <numFmt numFmtId="0" formatCode="General"/>
      <alignment horizontal="center" vertical="center" textRotation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indent="0" relativeIndent="255" justifyLastLine="0" shrinkToFit="0" readingOrder="0"/>
      <border diagonalUp="0" diagonalDown="0" outline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</border>
    </dxf>
    <dxf>
      <alignment horizontal="center" vertical="center" textRotation="0" indent="0" relativeIndent="255" justifyLastLine="0" shrinkToFit="0" readingOrder="0"/>
    </dxf>
    <dxf>
      <alignment horizontal="center" vertical="center" textRotation="0" indent="0" relativeIndent="255" justifyLastLine="0" shrinkToFit="0" readingOrder="0"/>
    </dxf>
    <dxf>
      <numFmt numFmtId="0" formatCode="General"/>
      <alignment horizontal="center" vertical="center" textRotation="0" indent="0" relativeIndent="255" justifyLastLine="0" shrinkToFit="0" readingOrder="0"/>
    </dxf>
    <dxf>
      <numFmt numFmtId="0" formatCode="General"/>
      <alignment horizontal="center" vertical="center" textRotation="0" indent="0" relativeIndent="255" justifyLastLine="0" shrinkToFit="0" readingOrder="0"/>
    </dxf>
    <dxf>
      <alignment horizontal="center" vertical="center" textRotation="0" indent="0" relativeIndent="255" justifyLastLine="0" shrinkToFit="0" readingOrder="0"/>
    </dxf>
    <dxf>
      <alignment horizontal="center" vertical="center" textRotation="0" indent="0" relativeIndent="255" justifyLastLine="0" shrinkToFit="0" readingOrder="0"/>
    </dxf>
    <dxf>
      <alignment horizontal="center" vertical="center" textRotation="0" indent="0" relativeIndent="255" justifyLastLine="0" shrinkToFit="0" readingOrder="0"/>
    </dxf>
    <dxf>
      <numFmt numFmtId="0" formatCode="General"/>
      <alignment horizontal="center" vertical="center" textRotation="0" indent="0" relativeIndent="255" justifyLastLine="0" shrinkToFit="0" readingOrder="0"/>
    </dxf>
    <dxf>
      <numFmt numFmtId="0" formatCode="General"/>
      <alignment horizontal="center" vertical="center" textRotation="0" indent="0" relativeIndent="255" justifyLastLine="0" shrinkToFit="0" readingOrder="0"/>
    </dxf>
    <dxf>
      <alignment horizontal="center" vertical="center" textRotation="0" indent="0" relativeIndent="255" justifyLastLine="0" shrinkToFit="0" readingOrder="0"/>
    </dxf>
    <dxf>
      <alignment horizontal="center" vertical="center" textRotation="0" indent="0" relativeIndent="255" justifyLastLine="0" shrinkToFit="0" readingOrder="0"/>
    </dxf>
    <dxf>
      <alignment horizontal="center" vertical="center" textRotation="0" indent="0" relativeIndent="255" justifyLastLine="0" shrinkToFit="0" readingOrder="0"/>
    </dxf>
    <dxf>
      <alignment horizontal="center" vertical="center" textRotation="0" indent="0" relativeIndent="255" justifyLastLine="0" shrinkToFit="0" readingOrder="0"/>
      <protection locked="1" hidden="1"/>
    </dxf>
    <dxf>
      <alignment horizontal="center" vertical="center" textRotation="0" indent="0" relativeIndent="255" justifyLastLine="0" shrinkToFit="0" readingOrder="0"/>
      <protection locked="1" hidden="1"/>
    </dxf>
    <dxf>
      <alignment horizontal="center" vertical="center" textRotation="0" indent="0" relativeIndent="255" justifyLastLine="0" shrinkToFit="0" readingOrder="0"/>
      <protection locked="1" hidden="1"/>
    </dxf>
    <dxf>
      <fill>
        <patternFill patternType="solid">
          <fgColor indexed="64"/>
          <bgColor theme="3"/>
        </patternFill>
      </fill>
      <alignment horizontal="center" vertical="center" textRotation="0" indent="0" relativeIndent="255" justifyLastLine="0" shrinkToFit="0" readingOrder="0"/>
      <protection locked="1" hidden="1"/>
    </dxf>
    <dxf>
      <numFmt numFmtId="13" formatCode="0%"/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numFmt numFmtId="0" formatCode="General"/>
      <alignment horizontal="center" vertical="center" textRotation="0" wrapText="0" indent="0" relativeIndent="255" justifyLastLine="0" shrinkToFit="0" readingOrder="0"/>
    </dxf>
    <dxf>
      <alignment horizontal="general" vertical="center" textRotation="0" wrapText="1" indent="0" relativeIndent="255" justifyLastLine="0" shrinkToFit="0" readingOrder="0"/>
    </dxf>
    <dxf>
      <alignment vertical="center" textRotation="0" indent="0" relativeIndent="255" justifyLastLine="0" shrinkToFit="0" readingOrder="0"/>
    </dxf>
    <dxf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relativeIndent="255" justifyLastLine="0" shrinkToFit="0" readingOrder="0"/>
    </dxf>
    <dxf>
      <numFmt numFmtId="13" formatCode="0%"/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numFmt numFmtId="0" formatCode="General"/>
      <alignment horizontal="center" vertical="center" textRotation="0" wrapText="0" indent="0" relativeIndent="255" justifyLastLine="0" shrinkToFit="0" readingOrder="0"/>
    </dxf>
    <dxf>
      <alignment horizontal="general" vertical="center" textRotation="0" wrapText="1" indent="0" relativeIndent="255" justifyLastLine="0" shrinkToFit="0" readingOrder="0"/>
    </dxf>
    <dxf>
      <alignment vertical="center" textRotation="0" indent="0" relativeIndent="255" justifyLastLine="0" shrinkToFit="0" readingOrder="0"/>
    </dxf>
    <dxf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relativeIndent="255" justifyLastLine="0" shrinkToFit="0" readingOrder="0"/>
    </dxf>
    <dxf>
      <numFmt numFmtId="13" formatCode="0%"/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numFmt numFmtId="0" formatCode="General"/>
      <alignment horizontal="center" vertical="center" textRotation="0" wrapText="0" indent="0" relativeIndent="255" justifyLastLine="0" shrinkToFit="0" readingOrder="0"/>
    </dxf>
    <dxf>
      <alignment horizontal="left" vertical="center" textRotation="0" indent="0" relativeIndent="255" justifyLastLine="0" shrinkToFit="0" readingOrder="0"/>
    </dxf>
    <dxf>
      <alignment vertical="center" textRotation="0" indent="0" relativeIndent="255" justifyLastLine="0" shrinkToFit="0" readingOrder="0"/>
    </dxf>
    <dxf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relativeIndent="255" justifyLastLine="0" shrinkToFit="0" readingOrder="0"/>
    </dxf>
    <dxf>
      <numFmt numFmtId="13" formatCode="0%"/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numFmt numFmtId="0" formatCode="General"/>
      <alignment horizontal="center" vertical="center" textRotation="0" wrapText="0" indent="0" relativeIndent="255" justifyLastLine="0" shrinkToFit="0" readingOrder="0"/>
    </dxf>
    <dxf>
      <alignment horizontal="left" vertical="center" textRotation="0" indent="0" relativeIndent="255" justifyLastLine="0" shrinkToFit="0" readingOrder="0"/>
    </dxf>
    <dxf>
      <alignment vertical="center" textRotation="0" indent="0" relativeIndent="255" justifyLastLine="0" shrinkToFit="0" readingOrder="0"/>
    </dxf>
    <dxf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  <alignment horizontal="center" vertical="bottom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  <alignment horizontal="center" vertical="center" textRotation="0" wrapText="0" indent="0" relativeIndent="255" justifyLastLine="0" shrinkToFit="0" readingOrder="0"/>
    </dxf>
    <dxf>
      <alignment horizontal="center" vertical="bottom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alignment horizontal="center" vertical="bottom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alignment horizontal="center" vertical="bottom" textRotation="0" wrapText="0" indent="0" relativeIndent="255" justifyLastLine="0" shrinkToFit="0" readingOrder="0"/>
    </dxf>
    <dxf>
      <numFmt numFmtId="0" formatCode="General"/>
      <alignment horizontal="center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relativeIndent="255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relativeIndent="255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left style="medium">
          <color theme="4" tint="-0.24994659260841701"/>
        </left>
      </border>
    </dxf>
    <dxf>
      <alignment vertical="center" textRotation="0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relativeIndent="255" justifyLastLine="0" shrinkToFit="0" readingOrder="0"/>
    </dxf>
    <dxf>
      <numFmt numFmtId="13" formatCode="0%"/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numFmt numFmtId="0" formatCode="General"/>
      <alignment horizontal="center" vertical="center" textRotation="0" wrapText="0" indent="0" relativeIndent="255" justifyLastLine="0" shrinkToFit="0" readingOrder="0"/>
      <border outline="0">
        <left style="thin">
          <color theme="4" tint="0.3999755851924192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center" textRotation="0" wrapText="1" indent="0" relativeIndent="255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alignment vertical="center" textRotation="0" indent="0" relativeIndent="255" justifyLastLine="0" shrinkToFit="0" readingOrder="0"/>
    </dxf>
    <dxf>
      <fill>
        <patternFill>
          <bgColor theme="4" tint="-0.249977111117893"/>
        </patternFill>
      </fill>
      <alignment horizontal="center" vertical="center" textRotation="0" wrapText="1" indent="0" relativeIndent="255" justifyLastLine="0" shrinkToFit="0" readingOrder="0"/>
    </dxf>
    <dxf>
      <numFmt numFmtId="13" formatCode="0%"/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numFmt numFmtId="0" formatCode="General"/>
      <alignment horizontal="center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center" textRotation="0" wrapText="1" indent="0" relativeIndent="255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alignment vertical="center" textRotation="0" indent="0" relativeIndent="255" justifyLastLine="0" shrinkToFit="0" readingOrder="0"/>
    </dxf>
    <dxf>
      <fill>
        <patternFill>
          <bgColor theme="4" tint="-0.249977111117893"/>
        </patternFill>
      </fill>
      <alignment horizontal="center" vertical="center" textRotation="0" wrapText="1" indent="0" relativeIndent="255" justifyLastLine="0" shrinkToFit="0" readingOrder="0"/>
    </dxf>
    <dxf>
      <numFmt numFmtId="13" formatCode="0%"/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numFmt numFmtId="0" formatCode="General"/>
      <alignment horizontal="center" vertical="center" textRotation="0" wrapText="0" indent="0" relativeIndent="255" justifyLastLine="0" shrinkToFit="0" readingOrder="0"/>
    </dxf>
    <dxf>
      <alignment horizontal="left" vertical="center" textRotation="0" indent="0" relativeIndent="255" justifyLastLine="0" shrinkToFit="0" readingOrder="0"/>
    </dxf>
    <dxf>
      <alignment vertical="center" textRotation="0" indent="0" relativeIndent="255" justifyLastLine="0" shrinkToFit="0" readingOrder="0"/>
    </dxf>
    <dxf>
      <fill>
        <patternFill>
          <bgColor theme="4" tint="-0.249977111117893"/>
        </patternFill>
      </fill>
      <alignment horizontal="center" vertical="center" textRotation="0" wrapText="1" indent="0" relativeIndent="255" justifyLastLine="0" shrinkToFit="0" readingOrder="0"/>
    </dxf>
    <dxf>
      <numFmt numFmtId="13" formatCode="0%"/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alignment vertical="center" textRotation="0" indent="0" relativeIndent="255" justifyLastLine="0" shrinkToFit="0" readingOrder="0"/>
    </dxf>
    <dxf>
      <alignment vertical="center" textRotation="0" indent="0" relativeIndent="255" justifyLastLine="0" shrinkToFit="0" readingOrder="0"/>
    </dxf>
    <dxf>
      <fill>
        <patternFill>
          <bgColor theme="4" tint="-0.249977111117893"/>
        </patternFill>
      </fill>
      <alignment horizontal="center" vertical="center" textRotation="0" wrapText="1" indent="0" relativeIndent="255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0" formatCode="General"/>
      <alignment horizontal="center" vertical="center" textRotation="0" indent="0" relativeIndent="255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0" formatCode="General"/>
      <alignment horizontal="center" vertical="center" textRotation="0" indent="0" relativeIndent="255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0" formatCode="General"/>
      <alignment horizontal="center" vertical="center" textRotation="0" indent="0" relativeIndent="255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0" formatCode="General"/>
      <alignment horizontal="center" vertical="center" textRotation="0" indent="0" relativeIndent="255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0" formatCode="General"/>
      <alignment horizontal="center" vertical="center" textRotation="0" indent="0" relativeIndent="255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indent="0" relativeIndent="255" justifyLastLine="0" shrinkToFit="0" readingOrder="0"/>
    </dxf>
    <dxf>
      <border outline="0">
        <top style="thin">
          <color theme="4" tint="0.39997558519241921"/>
        </top>
      </border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indent="0" relativeIndent="255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1" indent="0" relativeIndent="255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0" formatCode="General"/>
      <alignment horizontal="center" vertical="center" textRotation="0" indent="0" relativeIndent="255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0" formatCode="General"/>
      <alignment horizontal="center" vertical="center" textRotation="0" indent="0" relativeIndent="255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0" formatCode="General"/>
      <alignment horizontal="center" vertical="center" textRotation="0" indent="0" relativeIndent="255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0" formatCode="General"/>
      <alignment horizontal="center" vertical="center" textRotation="0" indent="0" relativeIndent="255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0" formatCode="General"/>
      <alignment horizontal="center" vertical="center" textRotation="0" indent="0" relativeIndent="255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indent="0" relativeIndent="255" justifyLastLine="0" shrinkToFit="0" readingOrder="0"/>
    </dxf>
    <dxf>
      <border outline="0">
        <top style="thin">
          <color theme="4" tint="0.39997558519241921"/>
        </top>
      </border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indent="0" relativeIndent="255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1" indent="0" relativeIndent="255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0" formatCode="General"/>
      <alignment horizontal="center" vertical="bottom" textRotation="0" wrapText="0" indent="0" relativeIndent="255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0" formatCode="General"/>
      <alignment horizontal="center" vertical="bottom" textRotation="0" wrapText="0" indent="0" relativeIndent="255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0" formatCode="General"/>
      <alignment horizontal="center" textRotation="0" indent="0" relativeIndent="255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0" formatCode="General"/>
      <alignment horizontal="center" textRotation="0" indent="0" relativeIndent="255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0" formatCode="General"/>
      <alignment horizontal="center" vertical="bottom" textRotation="0" wrapText="0" indent="0" relativeIndent="255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0" formatCode="General"/>
      <alignment horizontal="center" vertical="bottom" textRotation="0" wrapText="0" indent="0" relativeIndent="255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bottom" textRotation="0" wrapText="0" indent="0" relativeIndent="255" justifyLastLine="0" shrinkToFit="0" readingOrder="0"/>
    </dxf>
    <dxf>
      <border outline="0">
        <top style="thin">
          <color theme="4" tint="0.39997558519241921"/>
        </top>
      </border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bottom" textRotation="0" wrapText="0" indent="0" relativeIndent="255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1" indent="0" relativeIndent="255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alignment horizontal="center" textRotation="0" indent="0" relativeIndent="255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alignment horizontal="center" textRotation="0" indent="0" relativeIndent="255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alignment horizontal="center" textRotation="0" indent="0" relativeIndent="255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alignment horizontal="center" textRotation="0" indent="0" relativeIndent="255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alignment horizontal="center" vertical="bottom" textRotation="0" wrapText="0" indent="0" relativeIndent="255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alignment horizontal="center" vertical="bottom" textRotation="0" wrapText="0" indent="0" relativeIndent="255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relativeIndent="255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relativeIndent="255" justifyLastLine="0" shrinkToFit="0" readingOrder="0"/>
    </dxf>
    <dxf>
      <fill>
        <patternFill>
          <bgColor rgb="FFFF0000"/>
        </patternFill>
      </fill>
    </dxf>
  </dxfs>
  <tableStyles count="1" defaultTableStyle="TableStyleMedium2" defaultPivotStyle="PivotStyleLight16">
    <tableStyle name="MySqlDefault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2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581025</xdr:colOff>
      <xdr:row>6</xdr:row>
      <xdr:rowOff>123825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0" y="0"/>
          <a:ext cx="3048000" cy="1266825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43</xdr:row>
      <xdr:rowOff>0</xdr:rowOff>
    </xdr:from>
    <xdr:ext cx="3031701" cy="1266825"/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0" y="0"/>
          <a:ext cx="3031701" cy="126682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97</xdr:row>
      <xdr:rowOff>0</xdr:rowOff>
    </xdr:from>
    <xdr:ext cx="3031701" cy="1266825"/>
    <xdr:pic>
      <xdr:nvPicPr>
        <xdr:cNvPr id="4" name="Picture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0" y="0"/>
          <a:ext cx="3031701" cy="1266825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Mike_2/AppData/Local/Microsoft/Windows/INetCache/Content.Outlook/PRHLRELR/Copy%20of%20Redesigned%20SAT%20Tagger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Mike_2/AppData/Local/Microsoft/Windows/INetCache/Content.Outlook/PRHLRELR/Redesigned%20SAT%20Tagger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PT 1"/>
      <sheetName val="PT 2"/>
      <sheetName val="PT 3"/>
      <sheetName val="PT 4"/>
      <sheetName val="Key"/>
      <sheetName val="Copy of Redesigned SAT Tagger"/>
    </sheetNames>
    <sheetDataSet>
      <sheetData sheetId="0"/>
      <sheetData sheetId="1" refreshError="1"/>
      <sheetData sheetId="2" refreshError="1"/>
      <sheetData sheetId="3" refreshError="1"/>
      <sheetData sheetId="4"/>
      <sheetData sheetId="5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PT 1"/>
      <sheetName val="PT 2"/>
      <sheetName val="PT 3"/>
      <sheetName val="PT 4"/>
      <sheetName val="Key"/>
    </sheetNames>
    <sheetDataSet>
      <sheetData sheetId="0"/>
      <sheetData sheetId="1" refreshError="1"/>
      <sheetData sheetId="2" refreshError="1"/>
      <sheetData sheetId="3" refreshError="1"/>
      <sheetData sheetId="4"/>
    </sheetDataSet>
  </externalBook>
</externalLink>
</file>

<file path=xl/tables/table1.xml><?xml version="1.0" encoding="utf-8"?>
<table xmlns="http://schemas.openxmlformats.org/spreadsheetml/2006/main" id="22" name="Table22" displayName="Table22" ref="A2:G54" totalsRowShown="0" headerRowDxfId="506" dataDxfId="505">
  <autoFilter ref="A2:G54"/>
  <tableColumns count="7">
    <tableColumn id="1" name="Question" dataDxfId="504"/>
    <tableColumn id="2" name="Student Answer" dataDxfId="503">
      <calculatedColumnFormula>IF(Input!C10=""," ", Input!C10)</calculatedColumnFormula>
    </tableColumn>
    <tableColumn id="3" name="Correct Answer" dataDxfId="502">
      <calculatedColumnFormula>IF(PTKEY=2,'PT Answer Tables'!C4,IF(PTKEY=3,'PT Answer Tables'!D4,IF(PTKEY=4,'PT Answer Tables'!E4,IF(PTKEY=5,'PT Answer Tables'!F4,IF(PTKEY=6,'PT Answer Tables'!G4,IF(PTKEY=7,'PT Answer Tables'!H4,0))))))</calculatedColumnFormula>
    </tableColumn>
    <tableColumn id="4" name="Category" dataDxfId="501">
      <calculatedColumnFormula>IF(PTKEY=2,'PT 1 Skill Tables'!C5,IF(PTKEY=3,'PT 2 Skill Tables'!C5,IF(PTKEY=4,'PT 3 Skill Tables'!C5,IF(PTKEY=5,'PT 4 Skill Tables'!C5,IF(PTKEY=6,'PT 5 Skill Tables'!C5,IF(PTKEY=7,'PT 6 Skill Tables'!C5,0))))))</calculatedColumnFormula>
    </tableColumn>
    <tableColumn id="5" name="Skill" dataDxfId="500">
      <calculatedColumnFormula>IF(PTKEY=2,'PT 1 Skill Tables'!D5,IF(PTKEY=3,'PT 2 Skill Tables'!D5,IF(PTKEY=4,'PT 3 Skill Tables'!D5,IF(PTKEY=5,'PT 4 Skill Tables'!D5,IF(PTKEY=6,'PT 5 Skill Tables'!D5,IF(PTKEY=7,'PT 5 Skill Tables'!D5,0))))))</calculatedColumnFormula>
    </tableColumn>
    <tableColumn id="9" name="Cross-Test" dataDxfId="499">
      <calculatedColumnFormula>IF(PTKEY=2,IF('PT 1 Skill Tables'!H5=1,"History",IF('PT 1 Skill Tables'!I5=1,"Science","")),IF(PTKEY=3,IF('PT 2 Skill Tables'!H5=1,"History",IF('PT 2 Skill Tables'!I5=1,"Science","")),IF(PTKEY=4,IF('PT 3 Skill Tables'!H5=1,"History",IF('PT 3 Skill Tables'!I5=1,"Science","")),IF(PTKEY=5,IF('PT 4 Skill Tables'!H5=1,"History",IF('PT 4 Skill Tables'!I5=1,"Science","")),IF(PTKEY=6,IF('PT 5 Skill Tables'!H5=1,"History",IF('PT 5 Skill Tables'!I5=1,"Science","")),IF(PTKEY=7,IF('PT 6 Skill Tables'!H5=1,"History",IF('PT 6 Skill Tables'!I5=1,"Science",""))))))))</calculatedColumnFormula>
    </tableColumn>
    <tableColumn id="10" name="Subscore" dataDxfId="498">
      <calculatedColumnFormula>IF(PTKEY=2,IF('PT 1 Skill Tables'!F5=1,"Words in Context",IF('PT 1 Skill Tables'!G5=1,"Command of Evidence","")),IF(PTKEY=3,IF('PT 2 Skill Tables'!F5=1,"Words in Context",IF('PT 2 Skill Tables'!G5=1,"Command of Evidence","")),IF(PTKEY=4,IF('PT 3 Skill Tables'!F5=1,"Words in Context",IF('PT 3 Skill Tables'!G5=1,"Command of Evidence","")),IF(PTKEY=5,IF('PT 4 Skill Tables'!F5=1,"Words in Context",IF('PT 4 Skill Tables'!G5=1,"Command of Evidence","")),IF(PTKEY=6,IF('PT 5 Skill Tables'!F5=1,"Words in Context",IF('PT 5 Skill Tables'!G5=1,"Command of Evidence","")),IF(PTKEY=7,IF('PT 6 Skill Tables'!F5=1,"Words in Context",IF('PT 6 Skill Tables'!G5=1,"Command of Evidence",""))))))))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3" name="Table23" displayName="Table23" ref="A56:G100" totalsRowShown="0" headerRowDxfId="497" dataDxfId="495" headerRowBorderDxfId="496" tableBorderDxfId="494">
  <autoFilter ref="A56:G100"/>
  <tableColumns count="7">
    <tableColumn id="1" name="Question" dataDxfId="493"/>
    <tableColumn id="2" name="Student Answer" dataDxfId="492">
      <calculatedColumnFormula>IF(Input!E10=""," ",Input!E10)</calculatedColumnFormula>
    </tableColumn>
    <tableColumn id="3" name="Correct Answer" dataDxfId="491">
      <calculatedColumnFormula>IF(PTKEY=2,'PT Answer Tables'!K4,IF(PTKEY=3,'PT Answer Tables'!L4, IF(PTKEY=4, 'PT Answer Tables'!M4, IF(PTKEY=5, 'PT Answer Tables'!N4, IF(PTKEY=6, 'PT Answer Tables'!O4,  IF(PTKEY=7, 'PT Answer Tables'!P4, 0))))))</calculatedColumnFormula>
    </tableColumn>
    <tableColumn id="4" name="Category" dataDxfId="490">
      <calculatedColumnFormula>IF(PTKEY=2,'PT 1 Skill Tables'!L5,IF(PTKEY=3,'PT 2 Skill Tables'!L5,IF(PTKEY=4,'PT 3 Skill Tables'!L5,IF(PTKEY=5,'PT 4 Skill Tables'!L5,IF(PTKEY=6,'PT 5 Skill Tables'!L5,IF(PTKEY=7,'PT 6 Skill Tables'!L5,0))))))</calculatedColumnFormula>
    </tableColumn>
    <tableColumn id="5" name="Skill" dataDxfId="489">
      <calculatedColumnFormula>IF(PTKEY=2,'PT 1 Skill Tables'!M5,IF(PTKEY=3,'PT 2 Skill Tables'!M5,IF(PTKEY=4,'PT 3 Skill Tables'!M5,IF(PTKEY=5,'PT 4 Skill Tables'!M5,IF(PTKEY=6,'PT 5 Skill Tables'!M5,IF(PTKEY=7,'PT 6 Skill Tables'!M5,0))))))</calculatedColumnFormula>
    </tableColumn>
    <tableColumn id="7" name="Cross-Test" dataDxfId="488">
      <calculatedColumnFormula>IF(PTKEY=2,IF('PT 1 Skill Tables'!Q5=1,"History",IF('PT 1 Skill Tables'!R5=1,"Science","")),IF(PTKEY=3,IF('PT 2 Skill Tables'!Q5=1,"History",IF('PT 2 Skill Tables'!R5=1,"Science","")),IF(PTKEY=4,IF('PT 3 Skill Tables'!Q5=1,"History",IF('PT 3 Skill Tables'!R5=1,"Science","")),IF(PTKEY=5,IF('PT 4 Skill Tables'!Q5=1,"History",IF('PT 4 Skill Tables'!R5=1,"Science","")),IF(PTKEY=6,IF('PT 5 Skill Tables'!Q5=1,"History",IF('PT 5 Skill Tables'!R5=1,"Science","")),IF(PTKEY=7,IF('PT 6 Skill Tables'!Q5=1,"History",IF('PT 6 Skill Tables'!R5=1,"Science",""))))))))</calculatedColumnFormula>
    </tableColumn>
    <tableColumn id="8" name="Subscore" dataDxfId="487">
      <calculatedColumnFormula>IF(PTKEY=2,IF('PT 1 Skill Tables'!O5=1,"Words in Context",IF('PT 1 Skill Tables'!P5=1,"Command of Evidence","")),IF(PTKEY=3,IF('PT 2 Skill Tables'!O5=1,"Words in Context",IF('PT 2 Skill Tables'!P5=1,"Command of Evidence","")),IF(PTKEY=4,IF('PT 3 Skill Tables'!O5=1,"Words in Context",IF('PT 3 Skill Tables'!P5=1,"Command of Evidence","")),IF(PTKEY=5,IF('PT 4 Skill Tables'!O5=1,"Words in Context",IF('PT 4 Skill Tables'!P5=1,"Command of Evidence","")),IF(PTKEY=6,IF('PT 5 Skill Tables'!O5=1,"Words in Context",IF('PT 5 Skill Tables'!P5=1,"Command of Evidence","")),IF(PTKEY=7,IF('PT 6 Skill Tables'!O5=1,"Words in Context",IF('PT 6 Skill Tables'!P5=1,"Command of Evidence",""))))))))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4" name="Table24" displayName="Table24" ref="A102:F122" totalsRowShown="0" headerRowDxfId="486" dataDxfId="484" headerRowBorderDxfId="485" tableBorderDxfId="483">
  <autoFilter ref="A102:F122"/>
  <tableColumns count="6">
    <tableColumn id="1" name="Question" dataDxfId="482"/>
    <tableColumn id="2" name="Student Answer" dataDxfId="481">
      <calculatedColumnFormula>IF(Input!G10=""," ",Input!G10)</calculatedColumnFormula>
    </tableColumn>
    <tableColumn id="3" name="Correct Answer" dataDxfId="480">
      <calculatedColumnFormula>IF(PTKEY=2,'PT Answer Tables'!S4,IF(PTKEY=3,'PT Answer Tables'!T4, IF(PTKEY=4, 'PT Answer Tables'!U4, IF(PTKEY=5, 'PT Answer Tables'!V4, IF(PTKEY=6, 'PT Answer Tables'!W4, IF(PTKEY=7, 'PT Answer Tables'!X4, 0))))))</calculatedColumnFormula>
    </tableColumn>
    <tableColumn id="4" name="Category" dataDxfId="479">
      <calculatedColumnFormula>IF(PTKEY=2,'PT 1 Skill Tables'!U5,IF(PTKEY=3,'PT 2 Skill Tables'!U5,IF(PTKEY=4,'PT 3 Skill Tables'!U5,IF(PTKEY=5,'PT 4 Skill Tables'!U5,IF(PTKEY=6,'PT 5 Skill Tables'!U5,IF(PTKEY=7,'PT 6 Skill Tables'!U5,0))))))</calculatedColumnFormula>
    </tableColumn>
    <tableColumn id="5" name="Skill" dataDxfId="478">
      <calculatedColumnFormula>IF(PTKEY=2,'PT 1 Skill Tables'!V5, IF(PTKEY=3, 'PT 2 Skill Tables'!V5, IF(PTKEY=4, 'PT 3 Skill Tables'!V5, IF( PTKEY=5, 'PT 4 Skill Tables'!V5, IF( PTKEY=6, 'PT 5 Skill Tables'!V5,IF( PTKEY=7, 'PT 6 Skill Tables'!V5,0))))))</calculatedColumnFormula>
    </tableColumn>
    <tableColumn id="6" name="Cross-Test" dataDxfId="477">
      <calculatedColumnFormula>IF(PTKEY=2, IF('PT 1 Skill Tables'!X5=1, "History", IF('PT 1 Skill Tables'!Y5=1, "Science","")), IF(PTKEY=3, IF('PT 2 Skill Tables'!X5=1, "History", IF('PT 2 Skill Tables'!Y5=1, "Science","")), IF(PTKEY=4, IF('PT 3 Skill Tables'!X5=1, "History", IF('PT 3 Skill Tables'!Y5=1, "Science","")), IF(PTKEY=5, IF('PT 4 Skill Tables'!X5=1, "History", IF('PT 4 Skill Tables'!Y5=1, "Science","")),IF(PTKEY=6, IF('PT 5 Skill Tables'!X5=1, "History", IF('PT 5 Skill Tables'!Y5=1, "Science","")), IF(PTKEY=7, IF('PT 6 Skill Tables'!X5=1, "History", IF('PT 6 Skill Tables'!Y5=1, "Science",""))))))))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25" name="Table25" displayName="Table25" ref="A124:F162" totalsRowShown="0" headerRowDxfId="476" dataDxfId="474" headerRowBorderDxfId="475" tableBorderDxfId="473">
  <autoFilter ref="A124:F162"/>
  <tableColumns count="6">
    <tableColumn id="1" name="Question" dataDxfId="472"/>
    <tableColumn id="2" name="Student Answer" dataDxfId="471">
      <calculatedColumnFormula>IF(Input!I10=""," ",Input!I10)</calculatedColumnFormula>
    </tableColumn>
    <tableColumn id="3" name="Correct Answer" dataDxfId="470">
      <calculatedColumnFormula>IF(PTKEY=2,'PT Answer Tables'!AA4,IF(PTKEY=3,'PT Answer Tables'!AB4, IF(PTKEY=4, 'PT Answer Tables'!AC4, IF(PTKEY=5, 'PT Answer Tables'!AD4, IF(PTKEY=6, 'PT Answer Tables'!AE4,IF(PTKEY=7, 'PT Answer Tables'!AF4,0))))))</calculatedColumnFormula>
    </tableColumn>
    <tableColumn id="4" name="Category" dataDxfId="469">
      <calculatedColumnFormula>IF(PTKEY=2,'PT 1 Skill Tables'!AB5,IF(PTKEY=3,'PT 2 Skill Tables'!AB5,IF(PTKEY=4,'PT 3 Skill Tables'!AB5,IF(PTKEY=5,'PT 4 Skill Tables'!AB5,IF(PTKEY=6,'PT 5 Skill Tables'!AB5,IF(PTKEY=7,'PT 6 Skill Tables'!AB5,0))))))</calculatedColumnFormula>
    </tableColumn>
    <tableColumn id="5" name="Skill" dataDxfId="468">
      <calculatedColumnFormula>IF(PTKEY=2,'PT 1 Skill Tables'!AC5,IF(PTKEY=3,'PT 2 Skill Tables'!AC5,IF(PTKEY=4,'PT 3 Skill Tables'!AC5,IF(PTKEY=5,'PT 4 Skill Tables'!AC5,IF(PTKEY=6,'PT 5 Skill Tables'!AC5, IF(PTKEY=7,'PT 6 Skill Tables'!AC5,0))))))</calculatedColumnFormula>
    </tableColumn>
    <tableColumn id="6" name="Cross-Test" dataDxfId="467">
      <calculatedColumnFormula>IF(PTKEY=2,IF('PT 1 Skill Tables'!AE5=1,"History",IF('PT 1 Skill Tables'!AF5=1,"Science","")),IF(PTKEY=3,IF('PT 2 Skill Tables'!AE5=1,"History",IF('PT 2 Skill Tables'!AF5=1,"Science","")), IF(PTKEY=4,IF('PT 3 Skill Tables'!AE5=1,"History",IF('PT 3 Skill Tables'!AF5=1,"Science","")), IF(PTKEY=5,IF('PT 4 Skill Tables'!AE5=1,"History",IF('PT 4 Skill Tables'!AF5=1,"Science","")),IF(PTKEY=6,IF('PT 5 Skill Tables'!AE5=1,"History",IF('PT 5 Skill Tables'!AF5=1,"Science","")), IF(PTKEY=7,IF('PT 6 Skill Tables'!AE5=1,"History",IF('PT 6 Skill Tables'!AF5=1,"Science",""))))))))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6" name="Table16" displayName="Table16" ref="B11:F21" totalsRowShown="0" headerRowDxfId="466" dataDxfId="465">
  <autoFilter ref="B11:F21"/>
  <tableColumns count="5">
    <tableColumn id="1" name="Heart of Algebra" dataDxfId="464"/>
    <tableColumn id="2" name="Correct" dataDxfId="463"/>
    <tableColumn id="3" name="Incorrect/Blank" dataDxfId="462"/>
    <tableColumn id="4" name="# of Questions" dataDxfId="461"/>
    <tableColumn id="5" name="Accuracy" dataDxfId="460" dataCellStyle="Percent">
      <calculatedColumnFormula>IF(Table16[[#This Row],['# of Questions]]&lt;&gt;0,Table16[[#This Row],[Correct]]/Table16[[#This Row],['# of Questions]],0)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7" name="Table17" displayName="Table17" ref="B23:F38" totalsRowShown="0" headerRowDxfId="459" dataDxfId="458">
  <autoFilter ref="B23:F38"/>
  <tableColumns count="5">
    <tableColumn id="1" name="Passport to Advanced Mathematics" dataDxfId="457"/>
    <tableColumn id="2" name="Correct" dataDxfId="456">
      <calculatedColumnFormula>SUM(C7:C23)</calculatedColumnFormula>
    </tableColumn>
    <tableColumn id="3" name="Incorrect/Blank" dataDxfId="455"/>
    <tableColumn id="4" name="# of Questions" dataDxfId="454"/>
    <tableColumn id="5" name="Accuracy" dataDxfId="453" dataCellStyle="Percent">
      <calculatedColumnFormula>IF(Table17[[#This Row],['# of Questions]]&lt;&gt;0,Table17[[#This Row],[Correct]]/Table17[[#This Row],['# of Questions]],0)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8" name="Table18" displayName="Table18" ref="B52:F63" totalsRowShown="0" headerRowDxfId="452" dataDxfId="451">
  <autoFilter ref="B52:F63"/>
  <tableColumns count="5">
    <tableColumn id="1" name="Problem Solving and Data Analysis" dataDxfId="450"/>
    <tableColumn id="2" name="Correct" dataDxfId="449">
      <calculatedColumnFormula>SUM(C47:C52)</calculatedColumnFormula>
    </tableColumn>
    <tableColumn id="3" name="Incorrect/Blank" dataDxfId="448"/>
    <tableColumn id="4" name="# of Questions" dataDxfId="447"/>
    <tableColumn id="5" name="Accuracy" dataDxfId="446" dataCellStyle="Percent">
      <calculatedColumnFormula>IF(Table18[[#This Row],['# of Questions]]&lt;&gt;0,Table18[[#This Row],[Correct]]/Table18[[#This Row],['# of Questions]],0)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9" name="Table19" displayName="Table19" ref="B66:F75" totalsRowShown="0" headerRowDxfId="445" dataDxfId="444">
  <autoFilter ref="B66:F75"/>
  <tableColumns count="5">
    <tableColumn id="1" name="Additional Topics in Math" dataDxfId="443"/>
    <tableColumn id="2" name="Correct" dataDxfId="442">
      <calculatedColumnFormula>SUM(C59:C66)</calculatedColumnFormula>
    </tableColumn>
    <tableColumn id="3" name="Incorrect/Blank" dataDxfId="441"/>
    <tableColumn id="4" name="# of Questions" dataDxfId="440"/>
    <tableColumn id="5" name="Accuracy" dataDxfId="439" dataCellStyle="Percent">
      <calculatedColumnFormula>IF(Table19[[#This Row],['# of Questions]]&lt;&gt;0,Table19[[#This Row],[Correct]]/Table19[[#This Row],['# of Questions]],0)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4" name="Table4" displayName="Table4" ref="B9:F16" totalsRowShown="0" headerRowDxfId="438" dataDxfId="437" tableBorderDxfId="436">
  <autoFilter ref="B9:F16"/>
  <tableColumns count="5">
    <tableColumn id="1" name="Information and Ideas" dataDxfId="435" totalsRowDxfId="434"/>
    <tableColumn id="2" name="Correct" dataDxfId="433" totalsRowDxfId="432">
      <calculatedColumnFormula>SUM(C1:C9)</calculatedColumnFormula>
    </tableColumn>
    <tableColumn id="3" name="Incorrect/Blank" dataDxfId="431" totalsRowDxfId="430"/>
    <tableColumn id="4" name="# of Questions" dataDxfId="429" totalsRowDxfId="428"/>
    <tableColumn id="5" name="Accuracy" dataDxfId="427" totalsRowDxfId="426" dataCellStyle="Percent">
      <calculatedColumnFormula>IF(Table4[[#This Row],['# of Questions]] &lt;&gt; 0, Table4[[#This Row],[Correct]]/Table4[[#This Row],['# of Questions]], 0)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6" name="Table6" displayName="Table6" ref="B19:F25" totalsRowShown="0" headerRowDxfId="425" dataDxfId="424">
  <autoFilter ref="B19:F25"/>
  <tableColumns count="5">
    <tableColumn id="1" name="Rhetoric" dataDxfId="423"/>
    <tableColumn id="2" name="Correct" dataDxfId="422">
      <calculatedColumnFormula>SUM(C15:C19)</calculatedColumnFormula>
    </tableColumn>
    <tableColumn id="3" name="Incorrect/Blank" dataDxfId="421"/>
    <tableColumn id="4" name="# of Questions" dataDxfId="420"/>
    <tableColumn id="5" name="Accuracy" dataDxfId="419" dataCellStyle="Percent">
      <calculatedColumnFormula>IF(Table6[[#This Row],['# of Questions]] &lt;&gt; 0, Table6[[#This Row],[Correct]]/Table6[[#This Row],['# of Questions]], 0)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8" name="Table8" displayName="Table8" ref="B27:F30" totalsRowShown="0" headerRowDxfId="418" dataDxfId="417">
  <autoFilter ref="B27:F30"/>
  <tableColumns count="5">
    <tableColumn id="1" name="Synthesis" dataDxfId="416"/>
    <tableColumn id="2" name="Correct" dataDxfId="415">
      <calculatedColumnFormula>SUM(C26:C27)</calculatedColumnFormula>
    </tableColumn>
    <tableColumn id="3" name="Incorrect/Blank" dataDxfId="414"/>
    <tableColumn id="4" name="# of Questions" dataDxfId="413"/>
    <tableColumn id="5" name="Accuracy" dataDxfId="412">
      <calculatedColumnFormula>IF(Table8[[#This Row],['# of Questions]] &lt;&gt; 0, Table8[[#This Row],[Correct]]/Table8[[#This Row],['# of Questions]], 0)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3" name="Table914" displayName="Table914" ref="B34:F38" totalsRowShown="0" headerRowDxfId="411" dataDxfId="410">
  <autoFilter ref="B34:F38"/>
  <tableColumns count="5">
    <tableColumn id="1" name="Expression of Ideas" dataDxfId="409"/>
    <tableColumn id="2" name="Correct" dataDxfId="408">
      <calculatedColumnFormula>SUM(B34:B36)</calculatedColumnFormula>
    </tableColumn>
    <tableColumn id="3" name="Incorrect/Blank" dataDxfId="407"/>
    <tableColumn id="4" name="# of Questions" dataDxfId="406"/>
    <tableColumn id="5" name="Accuracy" dataDxfId="405" dataCellStyle="Percent">
      <calculatedColumnFormula>IF(Table914[[#This Row],['# of Questions]] &lt;&gt; 0, Table914[[#This Row],[Correct]]/Table914[[#This Row],['# of Questions]], 0)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4" name="Table1015" displayName="Table1015" ref="B41:F45" totalsRowShown="0" headerRowDxfId="404" dataDxfId="403">
  <autoFilter ref="B41:F45"/>
  <tableColumns count="5">
    <tableColumn id="1" name="Standard English Conventions" dataDxfId="402"/>
    <tableColumn id="2" name="Correct " dataDxfId="401"/>
    <tableColumn id="3" name="Incorrect/Blank" dataDxfId="400"/>
    <tableColumn id="4" name="# of Questions" dataDxfId="399"/>
    <tableColumn id="5" name="Accuracy" dataDxfId="398" dataCellStyle="Percent">
      <calculatedColumnFormula>IF(Table1015[[#This Row],['# of Questions]] &lt;&gt; 0, Table1015[[#This Row],[Correct ]]/Table1015[[#This Row],['# of Questions]], 0)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" name="PracticeTests" displayName="PracticeTests" ref="B3:C9" totalsRowShown="0" headerRowDxfId="397" dataDxfId="396">
  <autoFilter ref="B3:C9"/>
  <tableColumns count="2">
    <tableColumn id="1" name="Practice Tests" dataDxfId="395"/>
    <tableColumn id="2" name="Key" dataDxfId="394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43" name="Table43" displayName="Table43" ref="S3:U55" totalsRowShown="0" headerRowDxfId="393" dataDxfId="392">
  <autoFilter ref="S3:U55"/>
  <tableColumns count="3">
    <tableColumn id="1" name="Words in Context" dataDxfId="391"/>
    <tableColumn id="2" name="Reading" dataDxfId="390">
      <calculatedColumnFormula>IF(PTKEY=2,IF(AND('PT 1 Skill Tables'!F5=1,'PT 1 Skill Tables'!E5=1),1,0),IF(PTKEY=3,IF(AND('PT 2 Skill Tables'!F5=1,'PT 2 Skill Tables'!E5=1),1,0),IF(PTKEY=4,IF(AND('PT 3 Skill Tables'!F5=1,'PT 3 Skill Tables'!E5=1),1,0),IF(PTKEY=5,IF(AND('PT 4 Skill Tables'!F5=1,'PT 4 Skill Tables'!E5=1),1,0),IF(PTKEY=6,IF(AND('PT 5 Skill Tables'!F5=1,'PT 5 Skill Tables'!E5=1),1,0),IF(PTKEY=7,IF(AND('PT 6 Skill Tables'!F5=1,'PT 6 Skill Tables'!E5=1),1,0),""))))))</calculatedColumnFormula>
    </tableColumn>
    <tableColumn id="3" name="Writing" dataDxfId="389">
      <calculatedColumnFormula>IF(PTKEY=2,IF(AND('PT 1 Skill Tables'!O5=1,'PT 1 Skill Tables'!N5=1),1,0),IF(PTKEY=3,IF(AND('PT 2 Skill Tables'!O5=1,'PT 2 Skill Tables'!N5=1),1,0),IF(PTKEY=4,IF(AND('PT 3 Skill Tables'!O5=1,'PT 3 Skill Tables'!N5=1),1,0),IF(PTKEY=5,IF(AND('PT 4 Skill Tables'!O5=1,'PT 4 Skill Tables'!N5=1),1,0),IF(PTKEY=6,IF(AND('PT 5 Skill Tables'!O5=1,'PT 5 Skill Tables'!N5=1),1,0),IF(PTKEY=7,IF(AND('PT 6 Skill Tables'!O5=1,'PT 6 Skill Tables'!N5=1),1,0),""))))))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44" name="Table4345" displayName="Table4345" ref="W3:Y55" totalsRowShown="0" headerRowDxfId="388" dataDxfId="387">
  <autoFilter ref="W3:Y55"/>
  <tableColumns count="3">
    <tableColumn id="1" name="Command of Evidence" dataDxfId="386"/>
    <tableColumn id="2" name="Reading" dataDxfId="385">
      <calculatedColumnFormula>IF(PTKEY=2,IF(AND('PT 1 Skill Tables'!G5=1,'PT 1 Skill Tables'!E5=1),1,0),IF(PTKEY=3,IF(AND('PT 2 Skill Tables'!G5=1,'PT 2 Skill Tables'!E5=1),1,0),IF(PTKEY=4,IF(AND('PT 3 Skill Tables'!G5=1,'PT 3 Skill Tables'!E5=1),1,0),IF(PTKEY=5,IF(AND('PT 4 Skill Tables'!G5=1,'PT 4 Skill Tables'!E5=1),1,0),IF(PTKEY=6,IF(AND('PT 5 Skill Tables'!G5=1,'PT 5 Skill Tables'!E5=1),1,0),IF(PTKEY=7,IF(AND('PT 6 Skill Tables'!G5=1,'PT 6 Skill Tables'!E5=1),1,0),""))))))</calculatedColumnFormula>
    </tableColumn>
    <tableColumn id="3" name="Writing" dataDxfId="384">
      <calculatedColumnFormula>IF(PTKEY=2,IF(AND('PT 1 Skill Tables'!P5=1,'PT 1 Skill Tables'!N5=1),1,0),IF(PTKEY=3,IF(AND('PT 2 Skill Tables'!P5=1,'PT 2 Skill Tables'!N5=1),1,0),IF(PTKEY=4,IF(AND('PT 3 Skill Tables'!P5=1,'PT 3 Skill Tables'!N5=1),1,0),IF(PTKEY=5,IF(AND('PT 4 Skill Tables'!P5=1,'PT 4 Skill Tables'!N5=1),1,0),IF(PTKEY=6,IF(AND('PT 5 Skill Tables'!P5=1,'PT 5 Skill Tables'!N5=1),1,0),IF(PTKEY=7,IF(AND('PT 6 Skill Tables'!P5=1,'PT 6 Skill Tables'!N5=1),1,0),""))))))</calculatedColumnFormula>
    </tableColumn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46" name="Table46" displayName="Table46" ref="AA3:AE55" totalsRowShown="0" headerRowDxfId="383" dataDxfId="382">
  <autoFilter ref="AA3:AE55"/>
  <tableColumns count="5">
    <tableColumn id="1" name="History" dataDxfId="381"/>
    <tableColumn id="2" name="Reading" dataDxfId="380">
      <calculatedColumnFormula>IF(PTKEY=2, IF(AND('PT 1 Skill Tables'!H5=1,'PT 1 Skill Tables'!E5=1), 1, 0), IF(PTKEY=3,IF(AND('PT 2 Skill Tables'!H5=1,'PT 2 Skill Tables'!E5=1), 1, 0),IF(PTKEY=4,IF(AND('PT 3 Skill Tables'!H5=1,'PT 3 Skill Tables'!E5=1), 1, 0), IF(PTKEY=5,IF(AND('PT 4 Skill Tables'!H5=1,'PT 4 Skill Tables'!E5=1), 1, 0),IF(PTKEY=6,IF(AND('PT 5 Skill Tables'!H5=1,'PT 5 Skill Tables'!E5=1),1,0),IF(PTKEY=7,IF(AND('PT 6 Skill Tables'!H5=1,'PT 6 Skill Tables'!E5=1),1,0),""))))))</calculatedColumnFormula>
    </tableColumn>
    <tableColumn id="3" name="Writing" dataDxfId="379">
      <calculatedColumnFormula>IF(PTKEY=2, IF(AND('PT 1 Skill Tables'!Q5=1,'PT 1 Skill Tables'!N5=1), 1, 0), IF(PTKEY=3,IF(AND('PT 2 Skill Tables'!Q5=1,'PT 2 Skill Tables'!N5=1), 1, 0),IF(PTKEY=4,IF(AND('PT 3 Skill Tables'!Q5=1,'PT 3 Skill Tables'!N5=1), 1, 0), IF(PTKEY=5,IF(AND('PT 4 Skill Tables'!Q5=1,'PT 4 Skill Tables'!N5=1), 1, 0),IF(PTKEY=6,IF(AND('PT 5 Skill Tables'!Q5=1,'PT 5 Skill Tables'!N5=1),1,0),IF(PTKEY=7,IF(AND('PT 6 Skill Tables'!Q5=1,'PT 6 Skill Tables'!N5=1),1,0),""))))))</calculatedColumnFormula>
    </tableColumn>
    <tableColumn id="4" name="Math 1" dataDxfId="378">
      <calculatedColumnFormula>IF(PTKEY=2, IF(AND('PT 1 Skill Tables'!X5=1,'PT 1 Skill Tables'!W5=1), 1, 0), IF(PTKEY=3,IF(AND('PT 2 Skill Tables'!X5=1,'PT 2 Skill Tables'!W5=1), 1, 0),IF(PTKEY=4,IF(AND('PT 3 Skill Tables'!X5=1,'PT 3 Skill Tables'!W5=1), 1, 0),IF(PTKEY=5,IF(AND('PT 4 Skill Tables'!X5=1,'PT 4 Skill Tables'!W5=1), 1, 0),IF(PTKEY=6,IF(AND('PT 5 Skill Tables'!X5=1,'PT 5 Skill Tables'!W5=1),1,0), IF(PTKEY=7,IF(AND('PT 6 Skill Tables'!X5=1,'PT 6 Skill Tables'!W5=1),1,0),""))))))</calculatedColumnFormula>
    </tableColumn>
    <tableColumn id="5" name="Math 2" dataDxfId="377">
      <calculatedColumnFormula>IF(PTKEY=2, IF(AND('PT 1 Skill Tables'!AE5=1,'PT 1 Skill Tables'!AD5=1), 1, 0), IF(PTKEY=3,IF(AND('PT 2 Skill Tables'!AE5=1,'PT 2 Skill Tables'!AD5=1), 1, 0),IF(PTKEY=4,IF(AND('PT 3 Skill Tables'!AE5=1,'PT 3 Skill Tables'!AD5=1), 1, 0),IF(PTKEY=5,IF(AND('PT 4 Skill Tables'!AE5=1,'PT 4 Skill Tables'!AD5=1), 1, 0),IF(PTKEY=6,IF(AND('PT 5 Skill Tables'!AE5=1,'PT 5 Skill Tables'!AD5=1),1,0),IF(PTKEY=7,IF(AND('PT 6 Skill Tables'!AE5=1,'PT 6 Skill Tables'!AD5=1),1,0),""))))))</calculatedColumnFormula>
    </tableColumn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47" name="Table47" displayName="Table47" ref="AG3:AK55" totalsRowShown="0" headerRowDxfId="376" dataDxfId="375">
  <autoFilter ref="AG3:AK55"/>
  <tableColumns count="5">
    <tableColumn id="1" name="Science" dataDxfId="374"/>
    <tableColumn id="2" name="Reading" dataDxfId="373">
      <calculatedColumnFormula>IF(PTKEY=2, IF(AND('PT 1 Skill Tables'!I5=1,'PT 1 Skill Tables'!E5=1), 1, 0), IF(PTKEY=3,IF(AND('PT 2 Skill Tables'!I5=1,'PT 2 Skill Tables'!E5=1), 1, 0), IF(PTKEY=4,IF(AND('PT 3 Skill Tables'!I5=1,'PT 3 Skill Tables'!E5=1), 1, 0),IF(PTKEY=5,IF(AND('PT 4 Skill Tables'!I5=1,'PT 4 Skill Tables'!E5=1), 1, 0),IF(PTKEY=6,IF(AND('PT 5 Skill Tables'!I5=1,'PT 5 Skill Tables'!E5=1),1,0),IF(PTKEY=7,IF(AND('PT 6 Skill Tables'!I5=1,'PT 6 Skill Tables'!E5=1),1,0),""))))))</calculatedColumnFormula>
    </tableColumn>
    <tableColumn id="3" name="Writing" dataDxfId="372">
      <calculatedColumnFormula>IF(PTKEY=2,IF(AND('PT 1 Skill Tables'!R5=1,'PT 1 Skill Tables'!N5=1),1,0),IF(PTKEY=3,IF(AND('PT 2 Skill Tables'!R5=1,'PT 2 Skill Tables'!N5=1),1,0),IF(PTKEY=4,IF(AND('PT 3 Skill Tables'!R5=1,'PT 3 Skill Tables'!N5=1),1,0),IF(PTKEY=5,IF(AND('PT 4 Skill Tables'!R5=1,'PT 4 Skill Tables'!N5=1),1,0),IF(PTKEY=6,IF(AND('PT 5 Skill Tables'!R5=1,'PT 5 Skill Tables'!N5=1),1,0),IF(PTKEY=7,IF(AND('PT 6 Skill Tables'!R5=1,'PT 6 Skill Tables'!N5=1),1,0),""))))))</calculatedColumnFormula>
    </tableColumn>
    <tableColumn id="4" name="Math 1" dataDxfId="371">
      <calculatedColumnFormula>IF(PTKEY=2,IF(AND('PT 1 Skill Tables'!Y5=1,'PT 1 Skill Tables'!W5=1),1,0),IF(PTKEY=3,IF(AND('PT 2 Skill Tables'!Y5=1,'PT 2 Skill Tables'!W5=1),1,0),IF(PTKEY=4,IF(AND('PT 3 Skill Tables'!Y5=1,'PT 3 Skill Tables'!W5=1),1,0),IF(PTKEY=5,IF(AND('PT 4 Skill Tables'!Y5=1,'PT 4 Skill Tables'!W5=1),1,0),IF(PTKEY=6,IF(AND('PT 5 Skill Tables'!Y5=1,'PT 5 Skill Tables'!W5=1),1,0),IF(PTKEY=7,IF(AND('PT 6 Skill Tables'!Y5=1,'PT 6 Skill Tables'!W5=1),1,0),""))))))</calculatedColumnFormula>
    </tableColumn>
    <tableColumn id="5" name="Math 2" dataDxfId="370">
      <calculatedColumnFormula>IF(PTKEY=2,IF(AND('PT 1 Skill Tables'!AF5=1,'PT 1 Skill Tables'!AD5=1),1,0),IF(PTKEY=3,IF(AND('PT 2 Skill Tables'!AF5=1,'PT 2 Skill Tables'!AD5=1),1,0),IF(PTKEY=4,IF(AND('PT 3 Skill Tables'!AF5=1,'PT 3 Skill Tables'!AD5=1),1,0),IF(PTKEY=5,IF(AND('PT 4 Skill Tables'!AF5=1,'PT 4 Skill Tables'!AD5=1),1,0),IF(PTKEY=6,IF(AND('PT 5 Skill Tables'!AF5=1,'PT 5 Skill Tables'!AD5=1),1,0),IF(PTKEY=7,IF(AND('PT 6 Skill Tables'!AF5=1,'PT 6 Skill Tables'!AD5=1),1,0),""))))))</calculatedColumnFormula>
    </tableColumn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2" name="Table2" displayName="Table2" ref="B3:H55" totalsRowShown="0" headerRowDxfId="369" dataDxfId="367" headerRowBorderDxfId="368" tableBorderDxfId="366">
  <autoFilter ref="B3:H55"/>
  <tableColumns count="7">
    <tableColumn id="1" name="Question" dataDxfId="365"/>
    <tableColumn id="2" name="PT 1" dataDxfId="364"/>
    <tableColumn id="3" name="PT 2" dataDxfId="363"/>
    <tableColumn id="4" name="PT 3" dataDxfId="362"/>
    <tableColumn id="5" name="PT 4" dataDxfId="361"/>
    <tableColumn id="6" name="PT 5" dataDxfId="360"/>
    <tableColumn id="7" name="PT 6" dataDxfId="359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3" name="Table3" displayName="Table3" ref="J3:P47" totalsRowShown="0" headerRowDxfId="358" dataDxfId="356" headerRowBorderDxfId="357" tableBorderDxfId="355">
  <autoFilter ref="J3:P47"/>
  <tableColumns count="7">
    <tableColumn id="1" name="Question" dataDxfId="354"/>
    <tableColumn id="2" name="PT 1" dataDxfId="353"/>
    <tableColumn id="3" name="PT 2" dataDxfId="352"/>
    <tableColumn id="4" name="PT 3" dataDxfId="351"/>
    <tableColumn id="5" name="PT 4" dataDxfId="350"/>
    <tableColumn id="6" name="PT 5" dataDxfId="349"/>
    <tableColumn id="7" name="PT 6" dataDxfId="348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5" name="Table5" displayName="Table5" ref="Z3:AF41" totalsRowShown="0" headerRowDxfId="347" dataDxfId="345" headerRowBorderDxfId="346" tableBorderDxfId="344">
  <autoFilter ref="Z3:AF41"/>
  <tableColumns count="7">
    <tableColumn id="1" name="Question" dataDxfId="343"/>
    <tableColumn id="2" name="PT 1" dataDxfId="342"/>
    <tableColumn id="3" name="PT 2" dataDxfId="341"/>
    <tableColumn id="4" name="PT 3" dataDxfId="340"/>
    <tableColumn id="5" name="PT 4" dataDxfId="339"/>
    <tableColumn id="6" name="PT 5" dataDxfId="338"/>
    <tableColumn id="7" name="PT 6" dataDxfId="337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7" name="Table7" displayName="Table7" ref="R3:X23" totalsRowShown="0" headerRowDxfId="336" headerRowBorderDxfId="335" tableBorderDxfId="334">
  <autoFilter ref="R3:X23"/>
  <tableColumns count="7">
    <tableColumn id="1" name="Question" dataDxfId="333"/>
    <tableColumn id="2" name="PT 1" dataDxfId="332"/>
    <tableColumn id="3" name="PT 2" dataDxfId="331"/>
    <tableColumn id="4" name="PT 3" dataDxfId="330"/>
    <tableColumn id="5" name="PT 4" dataDxfId="329"/>
    <tableColumn id="6" name="PT 5" dataDxfId="328"/>
    <tableColumn id="7" name="PT 6" dataDxfId="327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41" name="Table41" displayName="Table41" ref="A2:M61" totalsRowShown="0" headerRowDxfId="326" dataDxfId="325">
  <autoFilter ref="A2:M61"/>
  <tableColumns count="13">
    <tableColumn id="1" name="Raw Score" dataDxfId="324"/>
    <tableColumn id="2" name="Math Section Score" dataDxfId="323"/>
    <tableColumn id="3" name="Reading Test Score" dataDxfId="322"/>
    <tableColumn id="4" name="Writing and Language Test Score" dataDxfId="321"/>
    <tableColumn id="5" name="Expression of Ideas" dataDxfId="320"/>
    <tableColumn id="6" name="Standard English Conventions" dataDxfId="319"/>
    <tableColumn id="7" name="Heart of Algebra" dataDxfId="318"/>
    <tableColumn id="8" name="Problem Solving and Data Analysis" dataDxfId="317"/>
    <tableColumn id="9" name="Passport to Advanced math" dataDxfId="316"/>
    <tableColumn id="10" name="Words in Context" dataDxfId="315"/>
    <tableColumn id="11" name="Command of Evidence" dataDxfId="314"/>
    <tableColumn id="12" name="History" dataDxfId="313"/>
    <tableColumn id="13" name="Science" dataDxfId="312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58" name="Table415059" displayName="Table415059" ref="A2:M61" totalsRowShown="0" headerRowDxfId="311" dataDxfId="310">
  <autoFilter ref="A2:M61"/>
  <tableColumns count="13">
    <tableColumn id="1" name="Raw Score" dataDxfId="309"/>
    <tableColumn id="2" name="Math Section Score" dataDxfId="308"/>
    <tableColumn id="3" name="Reading Test Score" dataDxfId="307"/>
    <tableColumn id="4" name="Writing and Language Test Score" dataDxfId="306"/>
    <tableColumn id="5" name="Expression of Ideas" dataDxfId="305"/>
    <tableColumn id="6" name="Standard English Conventions" dataDxfId="304"/>
    <tableColumn id="7" name="Heart of Algebra" dataDxfId="303"/>
    <tableColumn id="8" name="Problem Solving and Data Analysis" dataDxfId="302"/>
    <tableColumn id="9" name="Passport to Advanced math" dataDxfId="301"/>
    <tableColumn id="10" name="Words in Context" dataDxfId="300"/>
    <tableColumn id="11" name="Command of Evidence" dataDxfId="299"/>
    <tableColumn id="12" name="History" dataDxfId="298"/>
    <tableColumn id="13" name="Science" dataDxfId="297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49" name="Table4150" displayName="Table4150" ref="A2:M61" totalsRowShown="0" headerRowDxfId="296" dataDxfId="295">
  <autoFilter ref="A2:M61"/>
  <tableColumns count="13">
    <tableColumn id="1" name="Raw Score" dataDxfId="294"/>
    <tableColumn id="2" name="Math Section Score" dataDxfId="293"/>
    <tableColumn id="3" name="Reading Test Score" dataDxfId="292"/>
    <tableColumn id="4" name="Writing and Language Test Score" dataDxfId="291"/>
    <tableColumn id="5" name="Expression of Ideas" dataDxfId="290"/>
    <tableColumn id="6" name="Standard English Conventions" dataDxfId="289"/>
    <tableColumn id="7" name="Heart of Algebra" dataDxfId="288"/>
    <tableColumn id="8" name="Problem Solving and Data Analysis" dataDxfId="287"/>
    <tableColumn id="9" name="Passport to Advanced math" dataDxfId="286"/>
    <tableColumn id="10" name="Words in Context" dataDxfId="285"/>
    <tableColumn id="11" name="Command of Evidence" dataDxfId="284"/>
    <tableColumn id="12" name="History" dataDxfId="283"/>
    <tableColumn id="13" name="Science" dataDxfId="282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id="40" name="Table4141" displayName="Table4141" ref="A2:M61" totalsRowShown="0" headerRowDxfId="281" dataDxfId="280">
  <autoFilter ref="A2:M61"/>
  <tableColumns count="13">
    <tableColumn id="1" name="Raw Score" dataDxfId="279"/>
    <tableColumn id="2" name="Math Section Score" dataDxfId="278"/>
    <tableColumn id="3" name="Reading Test Score" dataDxfId="277"/>
    <tableColumn id="4" name="Writing and Language Test Score" dataDxfId="276"/>
    <tableColumn id="5" name="Expression of Ideas" dataDxfId="275"/>
    <tableColumn id="6" name="Standard English Conventions" dataDxfId="274"/>
    <tableColumn id="7" name="Heart of Algebra" dataDxfId="273"/>
    <tableColumn id="8" name="Problem Solving and Data Analysis" dataDxfId="272"/>
    <tableColumn id="9" name="Passport to Advanced math" dataDxfId="271"/>
    <tableColumn id="10" name="Words in Context" dataDxfId="270"/>
    <tableColumn id="11" name="Command of Evidence" dataDxfId="269"/>
    <tableColumn id="12" name="History" dataDxfId="268"/>
    <tableColumn id="13" name="Science" dataDxfId="267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id="42" name="Table414143" displayName="Table414143" ref="A2:M61" totalsRowShown="0" headerRowDxfId="266" dataDxfId="265">
  <autoFilter ref="A2:M61"/>
  <tableColumns count="13">
    <tableColumn id="1" name="Raw Score" dataDxfId="264"/>
    <tableColumn id="2" name="Math Section Score" dataDxfId="263"/>
    <tableColumn id="3" name="Reading Test Score" dataDxfId="262"/>
    <tableColumn id="4" name="Writing and Language Test Score" dataDxfId="261"/>
    <tableColumn id="5" name="Expression of Ideas" dataDxfId="260"/>
    <tableColumn id="6" name="Standard English Conventions" dataDxfId="259"/>
    <tableColumn id="7" name="Heart of Algebra" dataDxfId="258"/>
    <tableColumn id="8" name="Problem Solving and Data Analysis" dataDxfId="257"/>
    <tableColumn id="9" name="Passport to Advanced math" dataDxfId="256"/>
    <tableColumn id="10" name="Words in Context" dataDxfId="255"/>
    <tableColumn id="11" name="Command of Evidence" dataDxfId="254"/>
    <tableColumn id="12" name="History" dataDxfId="253"/>
    <tableColumn id="13" name="Science" dataDxfId="252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id="48" name="Table41414349" displayName="Table41414349" ref="A2:M61" totalsRowShown="0" headerRowDxfId="251" dataDxfId="250">
  <autoFilter ref="A2:M61"/>
  <tableColumns count="13">
    <tableColumn id="1" name="Raw Score" dataDxfId="249"/>
    <tableColumn id="2" name="Math Section Score" dataDxfId="248"/>
    <tableColumn id="3" name="Reading Test Score" dataDxfId="247"/>
    <tableColumn id="4" name="Writing and Language Test Score" dataDxfId="246"/>
    <tableColumn id="5" name="Expression of Ideas" dataDxfId="245"/>
    <tableColumn id="6" name="Standard English Conventions" dataDxfId="244"/>
    <tableColumn id="7" name="Heart of Algebra" dataDxfId="243"/>
    <tableColumn id="8" name="Problem Solving and Data Analysis" dataDxfId="242"/>
    <tableColumn id="9" name="Passport to Advanced math" dataDxfId="241"/>
    <tableColumn id="10" name="Words in Context" dataDxfId="240"/>
    <tableColumn id="11" name="Command of Evidence" dataDxfId="239"/>
    <tableColumn id="12" name="History" dataDxfId="238"/>
    <tableColumn id="13" name="Science" dataDxfId="237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id="9" name="Table1" displayName="Table1" ref="B4:I56" totalsRowShown="0" headerRowDxfId="236" dataDxfId="235">
  <autoFilter ref="B4:I56"/>
  <tableColumns count="8">
    <tableColumn id="1" name="Section 1" dataDxfId="234"/>
    <tableColumn id="2" name="Category" dataDxfId="233"/>
    <tableColumn id="3" name="Skill" dataDxfId="232"/>
    <tableColumn id="4" name="Raw Score" dataDxfId="231">
      <calculatedColumnFormula>'Raw Score Check'!H4</calculatedColumnFormula>
    </tableColumn>
    <tableColumn id="5" name="Words in Context" dataDxfId="230"/>
    <tableColumn id="6" name="Command of Evidence" dataDxfId="229"/>
    <tableColumn id="7" name="History" dataDxfId="228"/>
    <tableColumn id="8" name="Science" dataDxfId="227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id="12" name="Table413" displayName="Table413" ref="AA4:AF42" totalsRowShown="0" headerRowDxfId="226" dataDxfId="225">
  <autoFilter ref="AA4:AF42"/>
  <tableColumns count="6">
    <tableColumn id="1" name="Section 4" dataDxfId="224"/>
    <tableColumn id="2" name="Category" dataDxfId="223"/>
    <tableColumn id="3" name="Skill" dataDxfId="222"/>
    <tableColumn id="4" name="Raw Score" dataDxfId="221">
      <calculatedColumnFormula>'Raw Score Check'!Q4</calculatedColumnFormula>
    </tableColumn>
    <tableColumn id="5" name="History" dataDxfId="220"/>
    <tableColumn id="6" name="Science" dataDxfId="219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id="10" name="Table211" displayName="Table211" ref="K4:R48" totalsRowShown="0" headerRowDxfId="218" dataDxfId="217">
  <autoFilter ref="K4:R48"/>
  <tableColumns count="8">
    <tableColumn id="1" name="Section 2" dataDxfId="216"/>
    <tableColumn id="2" name="Category" dataDxfId="215"/>
    <tableColumn id="3" name="Skill" dataDxfId="214"/>
    <tableColumn id="4" name="Raw Score" dataDxfId="213">
      <calculatedColumnFormula>'Raw Score Check'!K4</calculatedColumnFormula>
    </tableColumn>
    <tableColumn id="5" name="Words in Context" dataDxfId="212"/>
    <tableColumn id="6" name="Command of Evidence" dataDxfId="211"/>
    <tableColumn id="7" name="History" dataDxfId="210"/>
    <tableColumn id="8" name="Science" dataDxfId="209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id="45" name="Table45" displayName="Table45" ref="T4:Y24" totalsRowShown="0" headerRowDxfId="208">
  <autoFilter ref="T4:Y24"/>
  <tableColumns count="6">
    <tableColumn id="1" name="Section 3" dataDxfId="207"/>
    <tableColumn id="2" name="Category" dataDxfId="206"/>
    <tableColumn id="3" name="Skill" dataDxfId="205"/>
    <tableColumn id="4" name="Raw Score" dataDxfId="204">
      <calculatedColumnFormula>'Raw Score Check'!N4</calculatedColumnFormula>
    </tableColumn>
    <tableColumn id="5" name="History" dataDxfId="203"/>
    <tableColumn id="6" name="Science" dataDxfId="202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id="54" name="Table15155" displayName="Table15155" ref="B4:I56" totalsRowShown="0" headerRowDxfId="201" dataDxfId="200">
  <autoFilter ref="B4:I56"/>
  <tableColumns count="8">
    <tableColumn id="1" name="Section 1" dataDxfId="199"/>
    <tableColumn id="2" name="Category" dataDxfId="198"/>
    <tableColumn id="3" name="Skill" dataDxfId="197"/>
    <tableColumn id="4" name="Raw Score" dataDxfId="196">
      <calculatedColumnFormula>'Raw Score Check'!H4</calculatedColumnFormula>
    </tableColumn>
    <tableColumn id="5" name="Words in Context" dataDxfId="195"/>
    <tableColumn id="6" name="Command of Evidence" dataDxfId="194"/>
    <tableColumn id="7" name="History" dataDxfId="193"/>
    <tableColumn id="8" name="Science" dataDxfId="192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id="55" name="Table4135256" displayName="Table4135256" ref="AA4:AF42" totalsRowShown="0" headerRowDxfId="191" dataDxfId="190">
  <autoFilter ref="AA4:AF42"/>
  <tableColumns count="6">
    <tableColumn id="1" name="Section 4" dataDxfId="189"/>
    <tableColumn id="2" name="Category" dataDxfId="188"/>
    <tableColumn id="3" name="Skill" dataDxfId="187"/>
    <tableColumn id="4" name="Raw Score" dataDxfId="186">
      <calculatedColumnFormula>'Raw Score Check'!Q4</calculatedColumnFormula>
    </tableColumn>
    <tableColumn id="5" name="History" dataDxfId="185"/>
    <tableColumn id="6" name="Science" dataDxfId="184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id="56" name="Table2115357" displayName="Table2115357" ref="K4:R48" totalsRowShown="0" headerRowDxfId="183" dataDxfId="182">
  <autoFilter ref="K4:R48"/>
  <tableColumns count="8">
    <tableColumn id="1" name="Section 2" dataDxfId="181"/>
    <tableColumn id="2" name="Category" dataDxfId="180"/>
    <tableColumn id="3" name="Skill" dataDxfId="179"/>
    <tableColumn id="4" name="Raw Score" dataDxfId="178">
      <calculatedColumnFormula>'Raw Score Check'!K4</calculatedColumnFormula>
    </tableColumn>
    <tableColumn id="5" name="Words in Context" dataDxfId="177"/>
    <tableColumn id="6" name="Command of Evidence" dataDxfId="176"/>
    <tableColumn id="7" name="History" dataDxfId="175"/>
    <tableColumn id="8" name="Science" dataDxfId="174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id="57" name="Table455458" displayName="Table455458" ref="T4:Y24" totalsRowShown="0" headerRowDxfId="173">
  <autoFilter ref="T4:Y24"/>
  <tableColumns count="6">
    <tableColumn id="1" name="Section 3" dataDxfId="172"/>
    <tableColumn id="2" name="Category" dataDxfId="171"/>
    <tableColumn id="3" name="Skill" dataDxfId="170"/>
    <tableColumn id="4" name="Raw Score" dataDxfId="169">
      <calculatedColumnFormula>'Raw Score Check'!N4</calculatedColumnFormula>
    </tableColumn>
    <tableColumn id="5" name="History" dataDxfId="168"/>
    <tableColumn id="6" name="Science" dataDxfId="167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id="50" name="Table151" displayName="Table151" ref="B4:I56" totalsRowShown="0" headerRowDxfId="166" dataDxfId="165">
  <autoFilter ref="B4:I56"/>
  <tableColumns count="8">
    <tableColumn id="1" name="Section 1" dataDxfId="164"/>
    <tableColumn id="2" name="Category" dataDxfId="163"/>
    <tableColumn id="3" name="Skill" dataDxfId="162"/>
    <tableColumn id="4" name="Raw Score" dataDxfId="161">
      <calculatedColumnFormula>'Raw Score Check'!H4</calculatedColumnFormula>
    </tableColumn>
    <tableColumn id="5" name="Words in Context" dataDxfId="160"/>
    <tableColumn id="6" name="Command of Evidence" dataDxfId="159"/>
    <tableColumn id="7" name="History" dataDxfId="158"/>
    <tableColumn id="8" name="Science" dataDxfId="157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id="51" name="Table41352" displayName="Table41352" ref="AA4:AF42" totalsRowShown="0" headerRowDxfId="156" dataDxfId="155">
  <autoFilter ref="AA4:AF42"/>
  <tableColumns count="6">
    <tableColumn id="1" name="Section 4" dataDxfId="154"/>
    <tableColumn id="2" name="Category" dataDxfId="153"/>
    <tableColumn id="3" name="Skill" dataDxfId="152"/>
    <tableColumn id="4" name="Raw Score" dataDxfId="151">
      <calculatedColumnFormula>'Raw Score Check'!Q4</calculatedColumnFormula>
    </tableColumn>
    <tableColumn id="5" name="History" dataDxfId="150"/>
    <tableColumn id="6" name="Science" dataDxfId="149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id="52" name="Table21153" displayName="Table21153" ref="K4:R48" totalsRowShown="0" headerRowDxfId="148" dataDxfId="147">
  <autoFilter ref="K4:R48"/>
  <tableColumns count="8">
    <tableColumn id="1" name="Section 2" dataDxfId="146"/>
    <tableColumn id="2" name="Category" dataDxfId="145"/>
    <tableColumn id="3" name="Skill" dataDxfId="144"/>
    <tableColumn id="4" name="Raw Score" dataDxfId="143">
      <calculatedColumnFormula>'Raw Score Check'!K4</calculatedColumnFormula>
    </tableColumn>
    <tableColumn id="5" name="Words in Context" dataDxfId="142"/>
    <tableColumn id="6" name="Command of Evidence" dataDxfId="141"/>
    <tableColumn id="7" name="History" dataDxfId="140"/>
    <tableColumn id="8" name="Science" dataDxfId="139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id="53" name="Table4554" displayName="Table4554" ref="T4:Y24" totalsRowShown="0" headerRowDxfId="138">
  <autoFilter ref="T4:Y24"/>
  <tableColumns count="6">
    <tableColumn id="1" name="Section 3" dataDxfId="137"/>
    <tableColumn id="2" name="Category" dataDxfId="136"/>
    <tableColumn id="3" name="Skill" dataDxfId="135"/>
    <tableColumn id="4" name="Raw Score" dataDxfId="134">
      <calculatedColumnFormula>'Raw Score Check'!N4</calculatedColumnFormula>
    </tableColumn>
    <tableColumn id="5" name="History" dataDxfId="133"/>
    <tableColumn id="6" name="Science" dataDxfId="132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id="29" name="Table130" displayName="Table130" ref="B4:I56" totalsRowShown="0" headerRowDxfId="131">
  <autoFilter ref="B4:I56"/>
  <tableColumns count="8">
    <tableColumn id="1" name="Section 1" dataDxfId="130"/>
    <tableColumn id="2" name="Category" dataDxfId="129"/>
    <tableColumn id="3" name="Skill" dataDxfId="128"/>
    <tableColumn id="4" name="Raw Score" dataDxfId="127">
      <calculatedColumnFormula>'Raw Score Check'!H4</calculatedColumnFormula>
    </tableColumn>
    <tableColumn id="5" name="Words in Context" dataDxfId="126"/>
    <tableColumn id="6" name="Command of Evidence" dataDxfId="125"/>
    <tableColumn id="7" name="History" dataDxfId="124"/>
    <tableColumn id="8" name="Science" dataDxfId="123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id="30" name="Table31231" displayName="Table31231" ref="T4:Y24" totalsRowShown="0" headerRowDxfId="122">
  <autoFilter ref="T4:Y24"/>
  <tableColumns count="6">
    <tableColumn id="1" name="Section 3" dataDxfId="121"/>
    <tableColumn id="2" name="Category" dataDxfId="120"/>
    <tableColumn id="3" name="Skill" dataDxfId="119"/>
    <tableColumn id="4" name="Raw Score" dataDxfId="118">
      <calculatedColumnFormula>'Raw Score Check'!N4</calculatedColumnFormula>
    </tableColumn>
    <tableColumn id="5" name="History" dataDxfId="117"/>
    <tableColumn id="6" name="Science" dataDxfId="116"/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id="31" name="Table41332" displayName="Table41332" ref="AA4:AF42" totalsRowShown="0" headerRowDxfId="115">
  <autoFilter ref="AA4:AF42"/>
  <tableColumns count="6">
    <tableColumn id="1" name="Section 4" dataDxfId="114"/>
    <tableColumn id="2" name="Category" dataDxfId="113"/>
    <tableColumn id="3" name="Skill" dataDxfId="112"/>
    <tableColumn id="4" name="Raw Score" dataDxfId="111">
      <calculatedColumnFormula>'Raw Score Check'!Q4</calculatedColumnFormula>
    </tableColumn>
    <tableColumn id="5" name="History" dataDxfId="110"/>
    <tableColumn id="6" name="Science" dataDxfId="109"/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id="32" name="Table21133" displayName="Table21133" ref="K4:R48" totalsRowShown="0" headerRowDxfId="108">
  <autoFilter ref="K4:R48"/>
  <tableColumns count="8">
    <tableColumn id="1" name="Section 2" dataDxfId="107"/>
    <tableColumn id="2" name="Category" dataDxfId="106"/>
    <tableColumn id="3" name="Skill" dataDxfId="105"/>
    <tableColumn id="4" name="Raw Score" dataDxfId="104">
      <calculatedColumnFormula>'Raw Score Check'!K4</calculatedColumnFormula>
    </tableColumn>
    <tableColumn id="5" name="Words in Context" dataDxfId="103"/>
    <tableColumn id="6" name="Command of Evidence" dataDxfId="102"/>
    <tableColumn id="7" name="History" dataDxfId="101"/>
    <tableColumn id="8" name="Science" dataDxfId="100"/>
  </tableColumns>
  <tableStyleInfo name="TableStyleMedium2" showFirstColumn="0" showLastColumn="0" showRowStripes="1" showColumnStripes="0"/>
</table>
</file>

<file path=xl/tables/table45.xml><?xml version="1.0" encoding="utf-8"?>
<table xmlns="http://schemas.openxmlformats.org/spreadsheetml/2006/main" id="11" name="Table13012" displayName="Table13012" ref="B4:I56" totalsRowShown="0" headerRowDxfId="99">
  <autoFilter ref="B4:I56"/>
  <tableColumns count="8">
    <tableColumn id="1" name="Section 1" dataDxfId="98"/>
    <tableColumn id="2" name="Category" dataDxfId="97"/>
    <tableColumn id="3" name="Skill" dataDxfId="96"/>
    <tableColumn id="4" name="Raw Score" dataDxfId="95">
      <calculatedColumnFormula>'Raw Score Check'!H4</calculatedColumnFormula>
    </tableColumn>
    <tableColumn id="5" name="Words in Context" dataDxfId="94"/>
    <tableColumn id="6" name="Command of Evidence" dataDxfId="93"/>
    <tableColumn id="7" name="History" dataDxfId="92"/>
    <tableColumn id="8" name="Science" dataDxfId="91"/>
  </tableColumns>
  <tableStyleInfo name="TableStyleMedium2" showFirstColumn="0" showLastColumn="0" showRowStripes="1" showColumnStripes="0"/>
</table>
</file>

<file path=xl/tables/table46.xml><?xml version="1.0" encoding="utf-8"?>
<table xmlns="http://schemas.openxmlformats.org/spreadsheetml/2006/main" id="33" name="Table3123134" displayName="Table3123134" ref="T4:Y24" totalsRowShown="0" headerRowDxfId="90">
  <autoFilter ref="T4:Y24"/>
  <tableColumns count="6">
    <tableColumn id="1" name="Section 3" dataDxfId="89"/>
    <tableColumn id="2" name="Category" dataDxfId="88"/>
    <tableColumn id="3" name="Skill" dataDxfId="87"/>
    <tableColumn id="4" name="Raw Score" dataDxfId="86">
      <calculatedColumnFormula>'Raw Score Check'!N4</calculatedColumnFormula>
    </tableColumn>
    <tableColumn id="5" name="History" dataDxfId="85"/>
    <tableColumn id="6" name="Science" dataDxfId="84"/>
  </tableColumns>
  <tableStyleInfo name="TableStyleMedium2" showFirstColumn="0" showLastColumn="0" showRowStripes="1" showColumnStripes="0"/>
</table>
</file>

<file path=xl/tables/table47.xml><?xml version="1.0" encoding="utf-8"?>
<table xmlns="http://schemas.openxmlformats.org/spreadsheetml/2006/main" id="34" name="Table4133235" displayName="Table4133235" ref="AA4:AF42" totalsRowShown="0" headerRowDxfId="83">
  <autoFilter ref="AA4:AF42"/>
  <tableColumns count="6">
    <tableColumn id="1" name="Section 4" dataDxfId="82"/>
    <tableColumn id="2" name="Category" dataDxfId="81"/>
    <tableColumn id="3" name="Skill" dataDxfId="80"/>
    <tableColumn id="4" name="Raw Score" dataDxfId="79">
      <calculatedColumnFormula>'Raw Score Check'!Q4</calculatedColumnFormula>
    </tableColumn>
    <tableColumn id="5" name="History" dataDxfId="78"/>
    <tableColumn id="6" name="Science" dataDxfId="77"/>
  </tableColumns>
  <tableStyleInfo name="TableStyleMedium2" showFirstColumn="0" showLastColumn="0" showRowStripes="1" showColumnStripes="0"/>
</table>
</file>

<file path=xl/tables/table48.xml><?xml version="1.0" encoding="utf-8"?>
<table xmlns="http://schemas.openxmlformats.org/spreadsheetml/2006/main" id="35" name="Table2113336" displayName="Table2113336" ref="K4:R48" totalsRowShown="0" headerRowDxfId="76">
  <autoFilter ref="K4:R48"/>
  <tableColumns count="8">
    <tableColumn id="1" name="Section 2" dataDxfId="75"/>
    <tableColumn id="2" name="Category" dataDxfId="74"/>
    <tableColumn id="3" name="Skill" dataDxfId="73"/>
    <tableColumn id="4" name="Raw Score" dataDxfId="72">
      <calculatedColumnFormula>'Raw Score Check'!K4</calculatedColumnFormula>
    </tableColumn>
    <tableColumn id="5" name="Words in Context" dataDxfId="71"/>
    <tableColumn id="6" name="Command of Evidence" dataDxfId="70"/>
    <tableColumn id="7" name="History" dataDxfId="69"/>
    <tableColumn id="8" name="Science" dataDxfId="68"/>
  </tableColumns>
  <tableStyleInfo name="TableStyleMedium2" showFirstColumn="0" showLastColumn="0" showRowStripes="1" showColumnStripes="0"/>
</table>
</file>

<file path=xl/tables/table49.xml><?xml version="1.0" encoding="utf-8"?>
<table xmlns="http://schemas.openxmlformats.org/spreadsheetml/2006/main" id="36" name="Table1301237" displayName="Table1301237" ref="B4:I56" totalsRowShown="0" headerRowDxfId="67">
  <autoFilter ref="B4:I56"/>
  <tableColumns count="8">
    <tableColumn id="1" name="Section 1" dataDxfId="66"/>
    <tableColumn id="2" name="Category" dataDxfId="65"/>
    <tableColumn id="3" name="Skill" dataDxfId="64"/>
    <tableColumn id="4" name="Raw Score" dataDxfId="63">
      <calculatedColumnFormula>'Raw Score Check'!H4</calculatedColumnFormula>
    </tableColumn>
    <tableColumn id="5" name="Words in Context" dataDxfId="62"/>
    <tableColumn id="6" name="Command of Evidence" dataDxfId="61"/>
    <tableColumn id="7" name="History" dataDxfId="60"/>
    <tableColumn id="8" name="Science" dataDxfId="59"/>
  </tableColumns>
  <tableStyleInfo name="TableStyleMedium2" showFirstColumn="0" showLastColumn="0" showRowStripes="1" showColumnStripes="0"/>
</table>
</file>

<file path=xl/tables/table50.xml><?xml version="1.0" encoding="utf-8"?>
<table xmlns="http://schemas.openxmlformats.org/spreadsheetml/2006/main" id="37" name="Table312313438" displayName="Table312313438" ref="T4:Y24" totalsRowShown="0" headerRowDxfId="58">
  <autoFilter ref="T4:Y24"/>
  <tableColumns count="6">
    <tableColumn id="1" name="Section 3" dataDxfId="57"/>
    <tableColumn id="2" name="Category" dataDxfId="56"/>
    <tableColumn id="3" name="Skill" dataDxfId="55"/>
    <tableColumn id="4" name="Raw Score" dataDxfId="54">
      <calculatedColumnFormula>'Raw Score Check'!N4</calculatedColumnFormula>
    </tableColumn>
    <tableColumn id="5" name="History" dataDxfId="53"/>
    <tableColumn id="6" name="Science" dataDxfId="52"/>
  </tableColumns>
  <tableStyleInfo name="TableStyleMedium2" showFirstColumn="0" showLastColumn="0" showRowStripes="1" showColumnStripes="0"/>
</table>
</file>

<file path=xl/tables/table51.xml><?xml version="1.0" encoding="utf-8"?>
<table xmlns="http://schemas.openxmlformats.org/spreadsheetml/2006/main" id="38" name="Table413323539" displayName="Table413323539" ref="AA4:AF42" totalsRowShown="0" headerRowDxfId="51">
  <autoFilter ref="AA4:AF42"/>
  <tableColumns count="6">
    <tableColumn id="1" name="Section 4" dataDxfId="50"/>
    <tableColumn id="2" name="Category" dataDxfId="49"/>
    <tableColumn id="3" name="Skill" dataDxfId="48"/>
    <tableColumn id="4" name="Raw Score" dataDxfId="47">
      <calculatedColumnFormula>'Raw Score Check'!Q4</calculatedColumnFormula>
    </tableColumn>
    <tableColumn id="5" name="History" dataDxfId="46"/>
    <tableColumn id="6" name="Science" dataDxfId="45"/>
  </tableColumns>
  <tableStyleInfo name="TableStyleMedium2" showFirstColumn="0" showLastColumn="0" showRowStripes="1" showColumnStripes="0"/>
</table>
</file>

<file path=xl/tables/table52.xml><?xml version="1.0" encoding="utf-8"?>
<table xmlns="http://schemas.openxmlformats.org/spreadsheetml/2006/main" id="39" name="Table211333640" displayName="Table211333640" ref="K4:R48" totalsRowShown="0" headerRowDxfId="44">
  <autoFilter ref="K4:R48"/>
  <tableColumns count="8">
    <tableColumn id="1" name="Section 2" dataDxfId="43"/>
    <tableColumn id="2" name="Category" dataDxfId="42"/>
    <tableColumn id="3" name="Skill" dataDxfId="41"/>
    <tableColumn id="4" name="Raw Score" dataDxfId="40">
      <calculatedColumnFormula>'Raw Score Check'!K4</calculatedColumnFormula>
    </tableColumn>
    <tableColumn id="5" name="Words in Context" dataDxfId="39"/>
    <tableColumn id="6" name="Command of Evidence" dataDxfId="38"/>
    <tableColumn id="7" name="History" dataDxfId="37"/>
    <tableColumn id="8" name="Science" dataDxfId="36"/>
  </tableColumns>
  <tableStyleInfo name="TableStyleMedium2" showFirstColumn="0" showLastColumn="0" showRowStripes="1" showColumnStripes="0"/>
</table>
</file>

<file path=xl/tables/table53.xml><?xml version="1.0" encoding="utf-8"?>
<table xmlns="http://schemas.openxmlformats.org/spreadsheetml/2006/main" id="26" name="Table1727" displayName="Table1727" ref="A3:E18" totalsRowShown="0" headerRowDxfId="35" dataDxfId="34">
  <autoFilter ref="A3:E18"/>
  <tableColumns count="5">
    <tableColumn id="9" name=" " dataDxfId="33"/>
    <tableColumn id="1" name="Heart of Algebra" dataDxfId="32"/>
    <tableColumn id="2" name="Passport to Advanced Mathematics" dataDxfId="31"/>
    <tableColumn id="3" name="Problem Solving and Data Analysis" dataDxfId="30"/>
    <tableColumn id="4" name="Additional Topics in Math" dataDxfId="29"/>
  </tableColumns>
  <tableStyleInfo name="TableStyleMedium2" showFirstColumn="0" showLastColumn="0" showRowStripes="1" showColumnStripes="0"/>
</table>
</file>

<file path=xl/tables/table54.xml><?xml version="1.0" encoding="utf-8"?>
<table xmlns="http://schemas.openxmlformats.org/spreadsheetml/2006/main" id="27" name="Table1828" displayName="Table1828" ref="G3:J10" totalsRowShown="0" headerRowDxfId="28" dataDxfId="27">
  <autoFilter ref="G3:J10"/>
  <tableColumns count="4">
    <tableColumn id="1" name=" " dataDxfId="26"/>
    <tableColumn id="2" name="Information and Ideas" dataDxfId="25"/>
    <tableColumn id="3" name="Rhetoric" dataDxfId="24"/>
    <tableColumn id="4" name="Synthesis" dataDxfId="23"/>
  </tableColumns>
  <tableStyleInfo name="TableStyleMedium2" showFirstColumn="0" showLastColumn="0" showRowStripes="1" showColumnStripes="0"/>
</table>
</file>

<file path=xl/tables/table55.xml><?xml version="1.0" encoding="utf-8"?>
<table xmlns="http://schemas.openxmlformats.org/spreadsheetml/2006/main" id="28" name="Table1929" displayName="Table1929" ref="G12:I16" totalsRowShown="0" headerRowDxfId="22" dataDxfId="21">
  <autoFilter ref="G12:I16"/>
  <tableColumns count="3">
    <tableColumn id="1" name=" " dataDxfId="20"/>
    <tableColumn id="2" name="Expression of Ideas" dataDxfId="19"/>
    <tableColumn id="3" name="Standard English Conventions" dataDxfId="18"/>
  </tableColumns>
  <tableStyleInfo name="TableStyleMedium2" showFirstColumn="0" showLastColumn="0" showRowStripes="1" showColumnStripes="0"/>
</table>
</file>

<file path=xl/tables/table56.xml><?xml version="1.0" encoding="utf-8"?>
<table xmlns="http://schemas.openxmlformats.org/spreadsheetml/2006/main" id="15" name="Table1716" displayName="Table1716" ref="A3:E18" totalsRowShown="0" headerRowDxfId="17" dataDxfId="16">
  <autoFilter ref="A3:E18"/>
  <tableColumns count="5">
    <tableColumn id="9" name=" " dataDxfId="15"/>
    <tableColumn id="1" name="Heart of Algebra" dataDxfId="14"/>
    <tableColumn id="2" name="Passport to Advanced Mathematics" dataDxfId="13"/>
    <tableColumn id="3" name="Problem Solving and Data Analysis" dataDxfId="12"/>
    <tableColumn id="4" name="Additional Topics in Math" dataDxfId="11"/>
  </tableColumns>
  <tableStyleInfo name="TableStyleMedium2" showFirstColumn="0" showLastColumn="0" showRowStripes="1" showColumnStripes="0"/>
</table>
</file>

<file path=xl/tables/table57.xml><?xml version="1.0" encoding="utf-8"?>
<table xmlns="http://schemas.openxmlformats.org/spreadsheetml/2006/main" id="20" name="Table1821" displayName="Table1821" ref="G3:J10" totalsRowShown="0" headerRowDxfId="10" dataDxfId="9">
  <autoFilter ref="G3:J10"/>
  <tableColumns count="4">
    <tableColumn id="1" name=" " dataDxfId="8"/>
    <tableColumn id="2" name="Information and Ideas" dataDxfId="7"/>
    <tableColumn id="3" name="Rhetoric" dataDxfId="6"/>
    <tableColumn id="4" name="Synthesis" dataDxfId="5"/>
  </tableColumns>
  <tableStyleInfo name="TableStyleMedium2" showFirstColumn="0" showLastColumn="0" showRowStripes="1" showColumnStripes="0"/>
</table>
</file>

<file path=xl/tables/table58.xml><?xml version="1.0" encoding="utf-8"?>
<table xmlns="http://schemas.openxmlformats.org/spreadsheetml/2006/main" id="21" name="Table1922" displayName="Table1922" ref="G12:I16" totalsRowShown="0" headerRowDxfId="4" dataDxfId="3">
  <autoFilter ref="G12:I16"/>
  <tableColumns count="3">
    <tableColumn id="1" name=" " dataDxfId="2"/>
    <tableColumn id="2" name="Expression of Ideas" dataDxfId="1"/>
    <tableColumn id="3" name="Standard English Convention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Blue Warm">
      <a:dk1>
        <a:sysClr val="windowText" lastClr="000000"/>
      </a:dk1>
      <a:lt1>
        <a:sysClr val="window" lastClr="FFFFFF"/>
      </a:lt1>
      <a:dk2>
        <a:srgbClr val="242852"/>
      </a:dk2>
      <a:lt2>
        <a:srgbClr val="ACCBF9"/>
      </a:lt2>
      <a:accent1>
        <a:srgbClr val="4A66AC"/>
      </a:accent1>
      <a:accent2>
        <a:srgbClr val="629DD1"/>
      </a:accent2>
      <a:accent3>
        <a:srgbClr val="297FD5"/>
      </a:accent3>
      <a:accent4>
        <a:srgbClr val="7F8FA9"/>
      </a:accent4>
      <a:accent5>
        <a:srgbClr val="5AA2AE"/>
      </a:accent5>
      <a:accent6>
        <a:srgbClr val="9D90A0"/>
      </a:accent6>
      <a:hlink>
        <a:srgbClr val="9454C3"/>
      </a:hlink>
      <a:folHlink>
        <a:srgbClr val="3EBBF0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2.xml"/><Relationship Id="rId5" Type="http://schemas.openxmlformats.org/officeDocument/2006/relationships/table" Target="../tables/table11.xml"/><Relationship Id="rId4" Type="http://schemas.openxmlformats.org/officeDocument/2006/relationships/table" Target="../tables/table10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table" Target="../tables/table15.xml"/><Relationship Id="rId1" Type="http://schemas.openxmlformats.org/officeDocument/2006/relationships/table" Target="../tables/table14.xml"/><Relationship Id="rId5" Type="http://schemas.openxmlformats.org/officeDocument/2006/relationships/table" Target="../tables/table18.xml"/><Relationship Id="rId4" Type="http://schemas.openxmlformats.org/officeDocument/2006/relationships/table" Target="../tables/table1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7.bin"/><Relationship Id="rId5" Type="http://schemas.openxmlformats.org/officeDocument/2006/relationships/table" Target="../tables/table22.xml"/><Relationship Id="rId4" Type="http://schemas.openxmlformats.org/officeDocument/2006/relationships/table" Target="../tables/table2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8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0.xml"/><Relationship Id="rId2" Type="http://schemas.openxmlformats.org/officeDocument/2006/relationships/table" Target="../tables/table29.xml"/><Relationship Id="rId1" Type="http://schemas.openxmlformats.org/officeDocument/2006/relationships/printerSettings" Target="../printerSettings/printerSettings14.bin"/><Relationship Id="rId5" Type="http://schemas.openxmlformats.org/officeDocument/2006/relationships/table" Target="../tables/table32.xml"/><Relationship Id="rId4" Type="http://schemas.openxmlformats.org/officeDocument/2006/relationships/table" Target="../tables/table3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4.xml"/><Relationship Id="rId2" Type="http://schemas.openxmlformats.org/officeDocument/2006/relationships/table" Target="../tables/table33.xml"/><Relationship Id="rId1" Type="http://schemas.openxmlformats.org/officeDocument/2006/relationships/printerSettings" Target="../printerSettings/printerSettings15.bin"/><Relationship Id="rId5" Type="http://schemas.openxmlformats.org/officeDocument/2006/relationships/table" Target="../tables/table36.xml"/><Relationship Id="rId4" Type="http://schemas.openxmlformats.org/officeDocument/2006/relationships/table" Target="../tables/table3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8.xml"/><Relationship Id="rId2" Type="http://schemas.openxmlformats.org/officeDocument/2006/relationships/table" Target="../tables/table37.xml"/><Relationship Id="rId1" Type="http://schemas.openxmlformats.org/officeDocument/2006/relationships/printerSettings" Target="../printerSettings/printerSettings16.bin"/><Relationship Id="rId5" Type="http://schemas.openxmlformats.org/officeDocument/2006/relationships/table" Target="../tables/table40.xml"/><Relationship Id="rId4" Type="http://schemas.openxmlformats.org/officeDocument/2006/relationships/table" Target="../tables/table39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3.xml"/><Relationship Id="rId2" Type="http://schemas.openxmlformats.org/officeDocument/2006/relationships/table" Target="../tables/table42.xml"/><Relationship Id="rId1" Type="http://schemas.openxmlformats.org/officeDocument/2006/relationships/table" Target="../tables/table41.xml"/><Relationship Id="rId4" Type="http://schemas.openxmlformats.org/officeDocument/2006/relationships/table" Target="../tables/table44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7.xml"/><Relationship Id="rId2" Type="http://schemas.openxmlformats.org/officeDocument/2006/relationships/table" Target="../tables/table46.xml"/><Relationship Id="rId1" Type="http://schemas.openxmlformats.org/officeDocument/2006/relationships/table" Target="../tables/table45.xml"/><Relationship Id="rId4" Type="http://schemas.openxmlformats.org/officeDocument/2006/relationships/table" Target="../tables/table4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1.xml"/><Relationship Id="rId2" Type="http://schemas.openxmlformats.org/officeDocument/2006/relationships/table" Target="../tables/table50.xml"/><Relationship Id="rId1" Type="http://schemas.openxmlformats.org/officeDocument/2006/relationships/table" Target="../tables/table49.xml"/><Relationship Id="rId4" Type="http://schemas.openxmlformats.org/officeDocument/2006/relationships/table" Target="../tables/table52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5.xml"/><Relationship Id="rId2" Type="http://schemas.openxmlformats.org/officeDocument/2006/relationships/table" Target="../tables/table54.xml"/><Relationship Id="rId1" Type="http://schemas.openxmlformats.org/officeDocument/2006/relationships/table" Target="../tables/table53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8.xml"/><Relationship Id="rId2" Type="http://schemas.openxmlformats.org/officeDocument/2006/relationships/table" Target="../tables/table57.xml"/><Relationship Id="rId1" Type="http://schemas.openxmlformats.org/officeDocument/2006/relationships/table" Target="../tables/table5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3:P63"/>
  <sheetViews>
    <sheetView tabSelected="1" workbookViewId="0">
      <selection activeCell="C4" sqref="C4"/>
    </sheetView>
  </sheetViews>
  <sheetFormatPr defaultRowHeight="15"/>
  <cols>
    <col min="2" max="3" width="9.140625" customWidth="1"/>
    <col min="10" max="10" width="15.140625" customWidth="1"/>
  </cols>
  <sheetData>
    <row r="3" spans="2:16">
      <c r="B3" s="1" t="s">
        <v>7</v>
      </c>
      <c r="C3" s="209" t="s">
        <v>8</v>
      </c>
    </row>
    <row r="4" spans="2:16" ht="18.75" customHeight="1" thickBot="1">
      <c r="B4" s="1" t="s">
        <v>32</v>
      </c>
      <c r="C4" s="180"/>
      <c r="D4" s="181"/>
      <c r="E4" s="181"/>
      <c r="F4" s="181"/>
    </row>
    <row r="5" spans="2:16" ht="21" customHeight="1" thickBot="1">
      <c r="B5" s="1" t="s">
        <v>33</v>
      </c>
      <c r="C5" s="213"/>
      <c r="D5" s="212"/>
      <c r="E5" s="182"/>
      <c r="F5" s="182"/>
    </row>
    <row r="6" spans="2:16" ht="24.75" customHeight="1" thickBot="1">
      <c r="B6" s="79" t="s">
        <v>154</v>
      </c>
      <c r="C6" s="183"/>
    </row>
    <row r="8" spans="2:16" ht="15.75" thickBot="1"/>
    <row r="9" spans="2:16" ht="45.75" thickBot="1">
      <c r="B9" s="8" t="s">
        <v>13</v>
      </c>
      <c r="C9" s="3"/>
      <c r="D9" s="8" t="s">
        <v>14</v>
      </c>
      <c r="E9" s="3"/>
      <c r="F9" s="8" t="s">
        <v>15</v>
      </c>
      <c r="G9" s="3"/>
      <c r="H9" s="8" t="s">
        <v>16</v>
      </c>
      <c r="K9" s="176" t="s">
        <v>38</v>
      </c>
      <c r="O9" s="34"/>
      <c r="P9" s="34"/>
    </row>
    <row r="10" spans="2:16">
      <c r="B10" s="4">
        <v>1</v>
      </c>
      <c r="C10" s="11"/>
      <c r="D10" s="9">
        <v>1</v>
      </c>
      <c r="E10" s="11"/>
      <c r="F10" s="6">
        <v>1</v>
      </c>
      <c r="G10" s="11"/>
      <c r="H10" s="6">
        <v>1</v>
      </c>
      <c r="I10" s="12"/>
      <c r="O10" s="2"/>
      <c r="P10" s="2"/>
    </row>
    <row r="11" spans="2:16" ht="15.75" thickBot="1">
      <c r="B11" s="4">
        <v>2</v>
      </c>
      <c r="C11" s="11"/>
      <c r="D11" s="6">
        <v>2</v>
      </c>
      <c r="E11" s="11"/>
      <c r="F11" s="6">
        <v>2</v>
      </c>
      <c r="G11" s="11"/>
      <c r="H11" s="6">
        <v>2</v>
      </c>
      <c r="I11" s="12"/>
      <c r="K11" t="s">
        <v>4</v>
      </c>
      <c r="L11" t="s">
        <v>39</v>
      </c>
      <c r="M11" t="s">
        <v>5</v>
      </c>
      <c r="O11" s="2"/>
      <c r="P11" s="2"/>
    </row>
    <row r="12" spans="2:16" ht="15.75" thickBot="1">
      <c r="B12" s="4">
        <v>3</v>
      </c>
      <c r="C12" s="11"/>
      <c r="D12" s="6">
        <v>3</v>
      </c>
      <c r="E12" s="11"/>
      <c r="F12" s="6">
        <v>3</v>
      </c>
      <c r="G12" s="11"/>
      <c r="H12" s="6">
        <v>3</v>
      </c>
      <c r="I12" s="12"/>
      <c r="K12" s="179"/>
      <c r="L12" s="179"/>
      <c r="M12" s="179"/>
      <c r="O12" s="2"/>
      <c r="P12" s="2"/>
    </row>
    <row r="13" spans="2:16">
      <c r="B13" s="4">
        <v>4</v>
      </c>
      <c r="C13" s="11"/>
      <c r="D13" s="6">
        <v>4</v>
      </c>
      <c r="E13" s="11"/>
      <c r="F13" s="6">
        <v>4</v>
      </c>
      <c r="G13" s="11"/>
      <c r="H13" s="6">
        <v>4</v>
      </c>
      <c r="I13" s="12"/>
      <c r="O13" s="2"/>
      <c r="P13" s="2"/>
    </row>
    <row r="14" spans="2:16">
      <c r="B14" s="4">
        <v>5</v>
      </c>
      <c r="C14" s="11"/>
      <c r="D14" s="6">
        <v>5</v>
      </c>
      <c r="E14" s="11"/>
      <c r="F14" s="6">
        <v>5</v>
      </c>
      <c r="G14" s="11"/>
      <c r="H14" s="6">
        <v>5</v>
      </c>
      <c r="I14" s="12"/>
      <c r="O14" s="2"/>
      <c r="P14" s="2"/>
    </row>
    <row r="15" spans="2:16">
      <c r="B15" s="4">
        <v>6</v>
      </c>
      <c r="C15" s="11"/>
      <c r="D15" s="6">
        <v>6</v>
      </c>
      <c r="E15" s="11"/>
      <c r="F15" s="6">
        <v>6</v>
      </c>
      <c r="G15" s="11"/>
      <c r="H15" s="6">
        <v>6</v>
      </c>
      <c r="I15" s="12"/>
      <c r="O15" s="2"/>
      <c r="P15" s="2"/>
    </row>
    <row r="16" spans="2:16">
      <c r="B16" s="4">
        <v>7</v>
      </c>
      <c r="C16" s="11"/>
      <c r="D16" s="6">
        <v>7</v>
      </c>
      <c r="E16" s="11"/>
      <c r="F16" s="6">
        <v>7</v>
      </c>
      <c r="G16" s="11"/>
      <c r="H16" s="6">
        <v>7</v>
      </c>
      <c r="I16" s="12"/>
      <c r="O16" s="2"/>
      <c r="P16" s="2"/>
    </row>
    <row r="17" spans="2:16">
      <c r="B17" s="4">
        <v>8</v>
      </c>
      <c r="C17" s="11"/>
      <c r="D17" s="6">
        <v>8</v>
      </c>
      <c r="E17" s="11"/>
      <c r="F17" s="6">
        <v>8</v>
      </c>
      <c r="G17" s="11"/>
      <c r="H17" s="6">
        <v>8</v>
      </c>
      <c r="I17" s="12"/>
      <c r="O17" s="2"/>
      <c r="P17" s="2"/>
    </row>
    <row r="18" spans="2:16">
      <c r="B18" s="4">
        <v>9</v>
      </c>
      <c r="C18" s="11"/>
      <c r="D18" s="6">
        <v>9</v>
      </c>
      <c r="E18" s="11"/>
      <c r="F18" s="6">
        <v>9</v>
      </c>
      <c r="G18" s="11"/>
      <c r="H18" s="6">
        <v>9</v>
      </c>
      <c r="I18" s="12"/>
      <c r="O18" s="2"/>
      <c r="P18" s="2"/>
    </row>
    <row r="19" spans="2:16">
      <c r="B19" s="4">
        <v>10</v>
      </c>
      <c r="C19" s="11"/>
      <c r="D19" s="6">
        <v>10</v>
      </c>
      <c r="E19" s="11"/>
      <c r="F19" s="6">
        <v>10</v>
      </c>
      <c r="G19" s="11"/>
      <c r="H19" s="6">
        <v>10</v>
      </c>
      <c r="I19" s="12"/>
      <c r="O19" s="2"/>
      <c r="P19" s="2"/>
    </row>
    <row r="20" spans="2:16">
      <c r="B20" s="4">
        <v>11</v>
      </c>
      <c r="C20" s="11"/>
      <c r="D20" s="6">
        <v>11</v>
      </c>
      <c r="E20" s="11"/>
      <c r="F20" s="6">
        <v>11</v>
      </c>
      <c r="G20" s="11"/>
      <c r="H20" s="6">
        <v>11</v>
      </c>
      <c r="I20" s="12"/>
      <c r="O20" s="2"/>
      <c r="P20" s="2"/>
    </row>
    <row r="21" spans="2:16">
      <c r="B21" s="4">
        <v>12</v>
      </c>
      <c r="C21" s="11"/>
      <c r="D21" s="6">
        <v>12</v>
      </c>
      <c r="E21" s="11"/>
      <c r="F21" s="6">
        <v>12</v>
      </c>
      <c r="G21" s="11"/>
      <c r="H21" s="6">
        <v>12</v>
      </c>
      <c r="I21" s="12"/>
      <c r="O21" s="2"/>
      <c r="P21" s="2"/>
    </row>
    <row r="22" spans="2:16">
      <c r="B22" s="4">
        <v>13</v>
      </c>
      <c r="C22" s="11"/>
      <c r="D22" s="6">
        <v>13</v>
      </c>
      <c r="E22" s="11"/>
      <c r="F22" s="6">
        <v>13</v>
      </c>
      <c r="G22" s="11"/>
      <c r="H22" s="6">
        <v>13</v>
      </c>
      <c r="I22" s="12"/>
      <c r="O22" s="2"/>
      <c r="P22" s="2"/>
    </row>
    <row r="23" spans="2:16">
      <c r="B23" s="4">
        <v>14</v>
      </c>
      <c r="C23" s="11"/>
      <c r="D23" s="6">
        <v>14</v>
      </c>
      <c r="E23" s="11"/>
      <c r="F23" s="6">
        <v>14</v>
      </c>
      <c r="G23" s="11"/>
      <c r="H23" s="6">
        <v>14</v>
      </c>
      <c r="I23" s="12"/>
      <c r="O23" s="2"/>
      <c r="P23" s="2"/>
    </row>
    <row r="24" spans="2:16">
      <c r="B24" s="4">
        <v>15</v>
      </c>
      <c r="C24" s="11"/>
      <c r="D24" s="6">
        <v>15</v>
      </c>
      <c r="E24" s="11"/>
      <c r="F24" s="6">
        <v>15</v>
      </c>
      <c r="G24" s="11"/>
      <c r="H24" s="6">
        <v>15</v>
      </c>
      <c r="I24" s="12"/>
      <c r="O24" s="2"/>
      <c r="P24" s="2"/>
    </row>
    <row r="25" spans="2:16">
      <c r="B25" s="4">
        <v>16</v>
      </c>
      <c r="C25" s="11"/>
      <c r="D25" s="6">
        <v>16</v>
      </c>
      <c r="E25" s="11"/>
      <c r="F25" s="6">
        <v>16</v>
      </c>
      <c r="G25" s="38"/>
      <c r="H25" s="6">
        <v>16</v>
      </c>
      <c r="I25" s="12"/>
      <c r="O25" s="2"/>
      <c r="P25" s="2"/>
    </row>
    <row r="26" spans="2:16">
      <c r="B26" s="4">
        <v>17</v>
      </c>
      <c r="C26" s="11"/>
      <c r="D26" s="6">
        <v>17</v>
      </c>
      <c r="E26" s="11"/>
      <c r="F26" s="6">
        <v>17</v>
      </c>
      <c r="G26" s="38"/>
      <c r="H26" s="6">
        <v>17</v>
      </c>
      <c r="I26" s="12"/>
      <c r="O26" s="2"/>
      <c r="P26" s="2"/>
    </row>
    <row r="27" spans="2:16">
      <c r="B27" s="4">
        <v>18</v>
      </c>
      <c r="C27" s="11"/>
      <c r="D27" s="6">
        <v>18</v>
      </c>
      <c r="E27" s="11"/>
      <c r="F27" s="6">
        <v>18</v>
      </c>
      <c r="G27" s="38"/>
      <c r="H27" s="6">
        <v>18</v>
      </c>
      <c r="I27" s="12"/>
      <c r="O27" s="2"/>
      <c r="P27" s="2"/>
    </row>
    <row r="28" spans="2:16">
      <c r="B28" s="4">
        <v>19</v>
      </c>
      <c r="C28" s="11"/>
      <c r="D28" s="6">
        <v>19</v>
      </c>
      <c r="E28" s="11"/>
      <c r="F28" s="6">
        <v>19</v>
      </c>
      <c r="G28" s="36"/>
      <c r="H28" s="6">
        <v>19</v>
      </c>
      <c r="I28" s="12"/>
      <c r="O28" s="2"/>
      <c r="P28" s="2"/>
    </row>
    <row r="29" spans="2:16" ht="15.75" thickBot="1">
      <c r="B29" s="4">
        <v>20</v>
      </c>
      <c r="C29" s="11"/>
      <c r="D29" s="6">
        <v>20</v>
      </c>
      <c r="E29" s="11"/>
      <c r="F29" s="7">
        <v>20</v>
      </c>
      <c r="G29" s="38"/>
      <c r="H29" s="6">
        <v>20</v>
      </c>
      <c r="I29" s="12"/>
      <c r="O29" s="2"/>
      <c r="P29" s="2"/>
    </row>
    <row r="30" spans="2:16">
      <c r="B30" s="4">
        <v>21</v>
      </c>
      <c r="C30" s="11"/>
      <c r="D30" s="6">
        <v>21</v>
      </c>
      <c r="E30" s="12"/>
      <c r="H30" s="6">
        <v>21</v>
      </c>
      <c r="I30" s="12"/>
      <c r="O30" s="2"/>
      <c r="P30" s="2"/>
    </row>
    <row r="31" spans="2:16">
      <c r="B31" s="4">
        <v>22</v>
      </c>
      <c r="C31" s="11"/>
      <c r="D31" s="6">
        <v>22</v>
      </c>
      <c r="E31" s="12"/>
      <c r="H31" s="6">
        <v>22</v>
      </c>
      <c r="I31" s="12"/>
      <c r="O31" s="2"/>
      <c r="P31" s="2"/>
    </row>
    <row r="32" spans="2:16">
      <c r="B32" s="4">
        <v>23</v>
      </c>
      <c r="C32" s="11"/>
      <c r="D32" s="6">
        <v>23</v>
      </c>
      <c r="E32" s="12"/>
      <c r="H32" s="6">
        <v>23</v>
      </c>
      <c r="I32" s="12"/>
      <c r="O32" s="2"/>
      <c r="P32" s="2"/>
    </row>
    <row r="33" spans="2:16">
      <c r="B33" s="4">
        <v>24</v>
      </c>
      <c r="C33" s="11"/>
      <c r="D33" s="6">
        <v>24</v>
      </c>
      <c r="E33" s="12"/>
      <c r="H33" s="6">
        <v>24</v>
      </c>
      <c r="I33" s="12"/>
      <c r="O33" s="2"/>
      <c r="P33" s="2"/>
    </row>
    <row r="34" spans="2:16">
      <c r="B34" s="4">
        <v>25</v>
      </c>
      <c r="C34" s="11"/>
      <c r="D34" s="6">
        <v>25</v>
      </c>
      <c r="E34" s="12"/>
      <c r="H34" s="6">
        <v>25</v>
      </c>
      <c r="I34" s="12"/>
      <c r="O34" s="2"/>
      <c r="P34" s="2"/>
    </row>
    <row r="35" spans="2:16">
      <c r="B35" s="4">
        <v>26</v>
      </c>
      <c r="C35" s="11"/>
      <c r="D35" s="6">
        <v>26</v>
      </c>
      <c r="E35" s="12"/>
      <c r="H35" s="6">
        <v>26</v>
      </c>
      <c r="I35" s="12"/>
      <c r="O35" s="2"/>
      <c r="P35" s="2"/>
    </row>
    <row r="36" spans="2:16">
      <c r="B36" s="4">
        <v>27</v>
      </c>
      <c r="C36" s="11"/>
      <c r="D36" s="6">
        <v>27</v>
      </c>
      <c r="E36" s="12"/>
      <c r="H36" s="6">
        <v>27</v>
      </c>
      <c r="I36" s="12"/>
      <c r="O36" s="2"/>
      <c r="P36" s="2"/>
    </row>
    <row r="37" spans="2:16">
      <c r="B37" s="4">
        <v>28</v>
      </c>
      <c r="C37" s="11"/>
      <c r="D37" s="6">
        <v>28</v>
      </c>
      <c r="E37" s="12"/>
      <c r="H37" s="6">
        <v>28</v>
      </c>
      <c r="I37" s="12"/>
      <c r="O37" s="2"/>
      <c r="P37" s="2"/>
    </row>
    <row r="38" spans="2:16">
      <c r="B38" s="4">
        <v>29</v>
      </c>
      <c r="C38" s="11"/>
      <c r="D38" s="6">
        <v>29</v>
      </c>
      <c r="E38" s="12"/>
      <c r="H38" s="6">
        <v>29</v>
      </c>
      <c r="I38" s="12"/>
      <c r="O38" s="2"/>
      <c r="P38" s="2"/>
    </row>
    <row r="39" spans="2:16">
      <c r="B39" s="4">
        <v>30</v>
      </c>
      <c r="C39" s="11"/>
      <c r="D39" s="6">
        <v>30</v>
      </c>
      <c r="E39" s="12"/>
      <c r="H39" s="6">
        <v>30</v>
      </c>
      <c r="I39" s="12"/>
      <c r="O39" s="2"/>
      <c r="P39" s="2"/>
    </row>
    <row r="40" spans="2:16">
      <c r="B40" s="4">
        <v>31</v>
      </c>
      <c r="C40" s="11"/>
      <c r="D40" s="6">
        <v>31</v>
      </c>
      <c r="E40" s="12"/>
      <c r="H40" s="6">
        <v>31</v>
      </c>
      <c r="I40" s="37"/>
      <c r="O40" s="2"/>
      <c r="P40" s="2"/>
    </row>
    <row r="41" spans="2:16">
      <c r="B41" s="4">
        <v>32</v>
      </c>
      <c r="C41" s="11"/>
      <c r="D41" s="6">
        <v>32</v>
      </c>
      <c r="E41" s="12"/>
      <c r="H41" s="6">
        <v>32</v>
      </c>
      <c r="I41" s="37"/>
      <c r="O41" s="2"/>
      <c r="P41" s="2"/>
    </row>
    <row r="42" spans="2:16">
      <c r="B42" s="4">
        <v>33</v>
      </c>
      <c r="C42" s="11"/>
      <c r="D42" s="6">
        <v>33</v>
      </c>
      <c r="E42" s="12"/>
      <c r="H42" s="6">
        <v>33</v>
      </c>
      <c r="I42" s="37"/>
      <c r="O42" s="2"/>
      <c r="P42" s="2"/>
    </row>
    <row r="43" spans="2:16">
      <c r="B43" s="4">
        <v>34</v>
      </c>
      <c r="C43" s="11"/>
      <c r="D43" s="6">
        <v>34</v>
      </c>
      <c r="E43" s="12"/>
      <c r="H43" s="6">
        <v>34</v>
      </c>
      <c r="I43" s="37"/>
      <c r="O43" s="2"/>
      <c r="P43" s="2"/>
    </row>
    <row r="44" spans="2:16">
      <c r="B44" s="4">
        <v>35</v>
      </c>
      <c r="C44" s="11"/>
      <c r="D44" s="6">
        <v>35</v>
      </c>
      <c r="E44" s="12"/>
      <c r="H44" s="6">
        <v>35</v>
      </c>
      <c r="I44" s="37"/>
      <c r="O44" s="2"/>
      <c r="P44" s="2"/>
    </row>
    <row r="45" spans="2:16">
      <c r="B45" s="4">
        <v>36</v>
      </c>
      <c r="C45" s="11"/>
      <c r="D45" s="6">
        <v>36</v>
      </c>
      <c r="E45" s="12"/>
      <c r="H45" s="6">
        <v>36</v>
      </c>
      <c r="I45" s="37"/>
      <c r="O45" s="2"/>
      <c r="P45" s="2"/>
    </row>
    <row r="46" spans="2:16">
      <c r="B46" s="4">
        <v>37</v>
      </c>
      <c r="C46" s="11"/>
      <c r="D46" s="6">
        <v>37</v>
      </c>
      <c r="E46" s="12"/>
      <c r="H46" s="6">
        <v>37</v>
      </c>
      <c r="I46" s="37"/>
      <c r="O46" s="2"/>
      <c r="P46" s="2"/>
    </row>
    <row r="47" spans="2:16" ht="15.75" thickBot="1">
      <c r="B47" s="4">
        <v>38</v>
      </c>
      <c r="C47" s="11"/>
      <c r="D47" s="6">
        <v>38</v>
      </c>
      <c r="E47" s="12"/>
      <c r="H47" s="7">
        <v>38</v>
      </c>
      <c r="I47" s="37"/>
      <c r="O47" s="2"/>
      <c r="P47" s="2"/>
    </row>
    <row r="48" spans="2:16">
      <c r="B48" s="4">
        <v>39</v>
      </c>
      <c r="C48" s="11"/>
      <c r="D48" s="6">
        <v>39</v>
      </c>
      <c r="E48" s="12"/>
      <c r="O48" s="2"/>
      <c r="P48" s="2"/>
    </row>
    <row r="49" spans="2:16">
      <c r="B49" s="4">
        <v>40</v>
      </c>
      <c r="C49" s="11"/>
      <c r="D49" s="6">
        <v>40</v>
      </c>
      <c r="E49" s="12"/>
      <c r="O49" s="2"/>
      <c r="P49" s="2"/>
    </row>
    <row r="50" spans="2:16">
      <c r="B50" s="4">
        <v>41</v>
      </c>
      <c r="C50" s="11"/>
      <c r="D50" s="6">
        <v>41</v>
      </c>
      <c r="E50" s="12"/>
      <c r="O50" s="2"/>
      <c r="P50" s="2"/>
    </row>
    <row r="51" spans="2:16">
      <c r="B51" s="4">
        <v>42</v>
      </c>
      <c r="C51" s="11"/>
      <c r="D51" s="6">
        <v>42</v>
      </c>
      <c r="E51" s="12"/>
      <c r="O51" s="2"/>
      <c r="P51" s="2"/>
    </row>
    <row r="52" spans="2:16">
      <c r="B52" s="4">
        <v>43</v>
      </c>
      <c r="C52" s="11"/>
      <c r="D52" s="6">
        <v>43</v>
      </c>
      <c r="E52" s="12"/>
      <c r="O52" s="2"/>
      <c r="P52" s="2"/>
    </row>
    <row r="53" spans="2:16" ht="15.75" thickBot="1">
      <c r="B53" s="4">
        <v>44</v>
      </c>
      <c r="C53" s="11"/>
      <c r="D53" s="7">
        <v>44</v>
      </c>
      <c r="E53" s="12"/>
      <c r="O53" s="2"/>
      <c r="P53" s="2"/>
    </row>
    <row r="54" spans="2:16">
      <c r="B54" s="4">
        <v>45</v>
      </c>
      <c r="C54" s="12"/>
      <c r="E54" s="211"/>
      <c r="O54" s="2"/>
      <c r="P54" s="2"/>
    </row>
    <row r="55" spans="2:16">
      <c r="B55" s="4">
        <v>46</v>
      </c>
      <c r="C55" s="12"/>
      <c r="O55" s="2"/>
      <c r="P55" s="2"/>
    </row>
    <row r="56" spans="2:16">
      <c r="B56" s="4">
        <v>47</v>
      </c>
      <c r="C56" s="12"/>
      <c r="O56" s="2"/>
      <c r="P56" s="2"/>
    </row>
    <row r="57" spans="2:16">
      <c r="B57" s="4">
        <v>48</v>
      </c>
      <c r="C57" s="12"/>
      <c r="O57" s="2"/>
      <c r="P57" s="2"/>
    </row>
    <row r="58" spans="2:16">
      <c r="B58" s="4">
        <v>49</v>
      </c>
      <c r="C58" s="12"/>
      <c r="O58" s="2"/>
      <c r="P58" s="2"/>
    </row>
    <row r="59" spans="2:16">
      <c r="B59" s="4">
        <v>50</v>
      </c>
      <c r="C59" s="12"/>
      <c r="O59" s="2"/>
      <c r="P59" s="2"/>
    </row>
    <row r="60" spans="2:16">
      <c r="B60" s="4">
        <v>51</v>
      </c>
      <c r="C60" s="12"/>
      <c r="O60" s="2"/>
      <c r="P60" s="2"/>
    </row>
    <row r="61" spans="2:16" ht="15.75" thickBot="1">
      <c r="B61" s="5">
        <v>52</v>
      </c>
      <c r="C61" s="12"/>
      <c r="O61" s="2"/>
      <c r="P61" s="2"/>
    </row>
    <row r="62" spans="2:16">
      <c r="C62" s="211"/>
    </row>
    <row r="63" spans="2:16">
      <c r="C63" s="211"/>
      <c r="O63" s="10"/>
      <c r="P63" s="2"/>
    </row>
  </sheetData>
  <sheetProtection sheet="1" selectLockedCells="1"/>
  <pageMargins left="0.7" right="0.7" top="0.75" bottom="0.75" header="0.3" footer="0.3"/>
  <pageSetup orientation="portrait" r:id="rId1"/>
  <legacyDrawing r:id="rId2"/>
  <extLst xmlns:x14="http://schemas.microsoft.com/office/spreadsheetml/2009/9/main">
    <ext uri="{CCE6A557-97BC-4b89-ADB6-D9C93CAAB3DF}">
      <x14:dataValidations xmlns:xm="http://schemas.microsoft.com/office/excel/2006/main" count="1">
        <x14:dataValidation type="list" showInputMessage="1" showErrorMessage="1">
          <x14:formula1>
            <xm:f>'Raw Score Check'!$B$4:$B$9</xm:f>
          </x14:formula1>
          <xm:sqref>C3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dimension ref="A1:G157"/>
  <sheetViews>
    <sheetView view="pageBreakPreview" zoomScale="85" zoomScaleSheetLayoutView="85" workbookViewId="0">
      <selection activeCell="A109" sqref="A109:E109"/>
    </sheetView>
  </sheetViews>
  <sheetFormatPr defaultColWidth="9.140625" defaultRowHeight="15"/>
  <cols>
    <col min="1" max="1" width="9.5703125" style="21" customWidth="1"/>
    <col min="2" max="5" width="9.140625" style="21"/>
    <col min="6" max="6" width="18.28515625" style="21" customWidth="1"/>
    <col min="7" max="12" width="9.140625" style="21"/>
    <col min="13" max="13" width="18.140625" style="21" customWidth="1"/>
    <col min="14" max="14" width="9.140625" style="21"/>
    <col min="15" max="15" width="7" style="21" customWidth="1"/>
    <col min="16" max="16384" width="9.140625" style="21"/>
  </cols>
  <sheetData>
    <row r="1" spans="1:6">
      <c r="A1" s="214"/>
      <c r="B1" s="214"/>
      <c r="C1" s="214"/>
    </row>
    <row r="2" spans="1:6">
      <c r="A2" s="214"/>
      <c r="B2" s="214"/>
      <c r="C2" s="214"/>
    </row>
    <row r="3" spans="1:6">
      <c r="A3" s="214"/>
      <c r="B3" s="214"/>
      <c r="C3" s="214"/>
    </row>
    <row r="4" spans="1:6">
      <c r="A4" s="214"/>
      <c r="B4" s="214"/>
      <c r="C4" s="214"/>
    </row>
    <row r="5" spans="1:6">
      <c r="A5" s="214"/>
      <c r="B5" s="214"/>
      <c r="C5" s="214"/>
    </row>
    <row r="6" spans="1:6">
      <c r="A6" s="214"/>
      <c r="B6" s="214"/>
      <c r="C6" s="214"/>
    </row>
    <row r="7" spans="1:6">
      <c r="A7" s="214"/>
      <c r="B7" s="214"/>
      <c r="C7" s="214"/>
    </row>
    <row r="8" spans="1:6" ht="26.25" customHeight="1">
      <c r="A8" s="302" t="s">
        <v>158</v>
      </c>
      <c r="B8" s="302"/>
      <c r="C8" s="302"/>
      <c r="D8" s="302"/>
      <c r="E8" s="302"/>
    </row>
    <row r="9" spans="1:6" ht="51" customHeight="1">
      <c r="A9" s="215"/>
      <c r="B9" s="215"/>
      <c r="C9" s="215"/>
      <c r="F9" s="216" t="s">
        <v>159</v>
      </c>
    </row>
    <row r="10" spans="1:6" ht="18.75">
      <c r="A10" s="303" t="s">
        <v>4</v>
      </c>
      <c r="B10" s="304"/>
      <c r="C10" s="304"/>
      <c r="D10" s="304"/>
      <c r="E10" s="305"/>
      <c r="F10" s="217"/>
    </row>
    <row r="11" spans="1:6">
      <c r="A11" s="218" t="s">
        <v>160</v>
      </c>
      <c r="B11" s="219"/>
      <c r="C11" s="219"/>
      <c r="D11" s="220"/>
      <c r="E11" s="220"/>
      <c r="F11" s="217"/>
    </row>
    <row r="12" spans="1:6" ht="16.5" customHeight="1">
      <c r="A12" s="306" t="s">
        <v>161</v>
      </c>
      <c r="B12" s="307"/>
      <c r="C12" s="307"/>
      <c r="D12" s="307"/>
      <c r="E12" s="308"/>
      <c r="F12" s="221"/>
    </row>
    <row r="13" spans="1:6">
      <c r="A13" s="275" t="s">
        <v>162</v>
      </c>
      <c r="B13" s="276"/>
      <c r="C13" s="276"/>
      <c r="D13" s="277"/>
      <c r="E13" s="277"/>
      <c r="F13" s="221"/>
    </row>
    <row r="14" spans="1:6">
      <c r="A14" s="275" t="s">
        <v>163</v>
      </c>
      <c r="B14" s="276"/>
      <c r="C14" s="276"/>
      <c r="D14" s="277"/>
      <c r="E14" s="277"/>
      <c r="F14" s="221"/>
    </row>
    <row r="15" spans="1:6">
      <c r="A15" s="218" t="s">
        <v>40</v>
      </c>
      <c r="B15" s="219"/>
      <c r="C15" s="219"/>
      <c r="D15" s="220"/>
      <c r="E15" s="220"/>
      <c r="F15" s="217"/>
    </row>
    <row r="16" spans="1:6">
      <c r="A16" s="224" t="s">
        <v>41</v>
      </c>
      <c r="B16" s="222"/>
      <c r="C16" s="222"/>
      <c r="D16" s="223"/>
      <c r="E16" s="225"/>
      <c r="F16" s="226"/>
    </row>
    <row r="17" spans="1:6">
      <c r="A17" s="227"/>
      <c r="B17" s="228" t="s">
        <v>164</v>
      </c>
      <c r="C17" s="229"/>
      <c r="D17" s="230"/>
      <c r="E17" s="230"/>
      <c r="F17" s="221"/>
    </row>
    <row r="18" spans="1:6">
      <c r="A18" s="227"/>
      <c r="B18" s="231" t="s">
        <v>165</v>
      </c>
      <c r="C18" s="232"/>
      <c r="D18" s="233"/>
      <c r="E18" s="233"/>
      <c r="F18" s="221"/>
    </row>
    <row r="19" spans="1:6">
      <c r="A19" s="228"/>
      <c r="B19" s="228" t="s">
        <v>166</v>
      </c>
      <c r="C19" s="229"/>
      <c r="D19" s="230"/>
      <c r="E19" s="230"/>
      <c r="F19" s="221"/>
    </row>
    <row r="20" spans="1:6">
      <c r="A20" s="224" t="s">
        <v>42</v>
      </c>
      <c r="B20" s="222"/>
      <c r="C20" s="222"/>
      <c r="D20" s="223"/>
      <c r="E20" s="225"/>
      <c r="F20" s="221"/>
    </row>
    <row r="21" spans="1:6">
      <c r="A21" s="224" t="s">
        <v>43</v>
      </c>
      <c r="B21" s="222"/>
      <c r="C21" s="222"/>
      <c r="D21" s="223"/>
      <c r="E21" s="225"/>
      <c r="F21" s="221"/>
    </row>
    <row r="22" spans="1:6">
      <c r="A22" s="224" t="s">
        <v>44</v>
      </c>
      <c r="B22" s="222"/>
      <c r="C22" s="222"/>
      <c r="D22" s="223"/>
      <c r="E22" s="225"/>
      <c r="F22" s="221"/>
    </row>
    <row r="23" spans="1:6">
      <c r="A23" s="224" t="s">
        <v>45</v>
      </c>
      <c r="B23" s="222"/>
      <c r="C23" s="222"/>
      <c r="D23" s="223"/>
      <c r="E23" s="225"/>
      <c r="F23" s="221"/>
    </row>
    <row r="24" spans="1:6">
      <c r="A24" s="224" t="s">
        <v>46</v>
      </c>
      <c r="B24" s="222"/>
      <c r="C24" s="222"/>
      <c r="D24" s="223"/>
      <c r="E24" s="225"/>
      <c r="F24" s="221"/>
    </row>
    <row r="25" spans="1:6">
      <c r="A25" s="234"/>
      <c r="B25" s="234"/>
      <c r="C25" s="235"/>
      <c r="D25" s="236"/>
      <c r="E25" s="236"/>
      <c r="F25" s="236"/>
    </row>
    <row r="26" spans="1:6">
      <c r="A26" s="234"/>
      <c r="B26" s="234"/>
      <c r="C26" s="235"/>
      <c r="D26" s="236"/>
      <c r="E26" s="236"/>
    </row>
    <row r="27" spans="1:6">
      <c r="A27" s="237" t="s">
        <v>52</v>
      </c>
      <c r="B27" s="238"/>
      <c r="C27" s="238"/>
      <c r="D27" s="239"/>
      <c r="E27" s="240"/>
    </row>
    <row r="28" spans="1:6">
      <c r="A28" s="224" t="s">
        <v>53</v>
      </c>
      <c r="B28" s="222"/>
      <c r="C28" s="222"/>
      <c r="D28" s="223"/>
      <c r="E28" s="225"/>
      <c r="F28" s="221"/>
    </row>
    <row r="29" spans="1:6">
      <c r="A29" s="224" t="s">
        <v>54</v>
      </c>
      <c r="B29" s="222"/>
      <c r="C29" s="222"/>
      <c r="D29" s="223"/>
      <c r="E29" s="225"/>
      <c r="F29" s="241"/>
    </row>
    <row r="30" spans="1:6">
      <c r="A30" s="242"/>
      <c r="B30" s="228" t="s">
        <v>167</v>
      </c>
      <c r="C30" s="229"/>
      <c r="D30" s="230"/>
      <c r="E30" s="243"/>
      <c r="F30" s="221"/>
    </row>
    <row r="31" spans="1:6">
      <c r="A31" s="244"/>
      <c r="B31" s="245" t="s">
        <v>168</v>
      </c>
      <c r="C31" s="246"/>
      <c r="D31" s="247"/>
      <c r="E31" s="248"/>
      <c r="F31" s="221"/>
    </row>
    <row r="32" spans="1:6">
      <c r="A32" s="224" t="s">
        <v>55</v>
      </c>
      <c r="B32" s="222"/>
      <c r="C32" s="222"/>
      <c r="D32" s="223"/>
      <c r="E32" s="225"/>
      <c r="F32" s="221"/>
    </row>
    <row r="33" spans="1:6">
      <c r="A33" s="224" t="s">
        <v>56</v>
      </c>
      <c r="B33" s="222"/>
      <c r="C33" s="222"/>
      <c r="D33" s="223"/>
      <c r="E33" s="225"/>
      <c r="F33" s="221"/>
    </row>
    <row r="34" spans="1:6">
      <c r="A34" s="224" t="s">
        <v>57</v>
      </c>
      <c r="B34" s="222"/>
      <c r="C34" s="222"/>
      <c r="D34" s="223"/>
      <c r="E34" s="225"/>
      <c r="F34" s="241"/>
    </row>
    <row r="35" spans="1:6">
      <c r="A35" s="242"/>
      <c r="B35" s="231" t="s">
        <v>169</v>
      </c>
      <c r="C35" s="232"/>
      <c r="D35" s="233"/>
      <c r="E35" s="249"/>
      <c r="F35" s="221"/>
    </row>
    <row r="36" spans="1:6">
      <c r="A36" s="250"/>
      <c r="B36" s="231" t="s">
        <v>170</v>
      </c>
      <c r="C36" s="232"/>
      <c r="D36" s="233"/>
      <c r="E36" s="249"/>
      <c r="F36" s="221"/>
    </row>
    <row r="37" spans="1:6">
      <c r="A37" s="244"/>
      <c r="B37" s="245" t="s">
        <v>171</v>
      </c>
      <c r="C37" s="246"/>
      <c r="D37" s="247"/>
      <c r="E37" s="248"/>
      <c r="F37" s="221"/>
    </row>
    <row r="38" spans="1:6">
      <c r="A38" s="246"/>
      <c r="B38" s="246"/>
      <c r="C38" s="246"/>
      <c r="D38" s="247"/>
      <c r="E38" s="247"/>
      <c r="F38" s="236"/>
    </row>
    <row r="39" spans="1:6">
      <c r="A39" s="229"/>
      <c r="B39" s="235"/>
      <c r="C39" s="235"/>
      <c r="D39" s="236"/>
      <c r="E39" s="236"/>
      <c r="F39" s="236"/>
    </row>
    <row r="40" spans="1:6">
      <c r="A40" s="218" t="s">
        <v>58</v>
      </c>
      <c r="B40" s="219"/>
      <c r="C40" s="219"/>
      <c r="D40" s="220"/>
      <c r="E40" s="251"/>
    </row>
    <row r="41" spans="1:6">
      <c r="A41" s="224" t="s">
        <v>59</v>
      </c>
      <c r="B41" s="222"/>
      <c r="C41" s="222"/>
      <c r="D41" s="223"/>
      <c r="E41" s="225"/>
      <c r="F41" s="221"/>
    </row>
    <row r="42" spans="1:6">
      <c r="A42" s="224" t="s">
        <v>60</v>
      </c>
      <c r="B42" s="222"/>
      <c r="C42" s="222"/>
      <c r="D42" s="223"/>
      <c r="E42" s="225"/>
      <c r="F42" s="221"/>
    </row>
    <row r="43" spans="1:6">
      <c r="A43" s="214"/>
      <c r="B43" s="214"/>
      <c r="C43" s="214"/>
    </row>
    <row r="51" spans="1:6" ht="21">
      <c r="A51" s="302" t="s">
        <v>158</v>
      </c>
      <c r="B51" s="302"/>
      <c r="C51" s="302"/>
      <c r="D51" s="302"/>
      <c r="E51" s="302"/>
    </row>
    <row r="52" spans="1:6">
      <c r="F52" s="216" t="s">
        <v>159</v>
      </c>
    </row>
    <row r="53" spans="1:6">
      <c r="A53" s="252" t="s">
        <v>5</v>
      </c>
      <c r="B53" s="253"/>
      <c r="C53" s="253"/>
      <c r="D53" s="254"/>
      <c r="E53" s="255"/>
      <c r="F53" s="217"/>
    </row>
    <row r="54" spans="1:6">
      <c r="A54" s="218" t="s">
        <v>61</v>
      </c>
      <c r="B54" s="219"/>
      <c r="C54" s="219"/>
      <c r="D54" s="220"/>
      <c r="E54" s="251"/>
      <c r="F54" s="217"/>
    </row>
    <row r="55" spans="1:6">
      <c r="A55" s="256" t="s">
        <v>62</v>
      </c>
      <c r="B55" s="257"/>
      <c r="C55" s="257"/>
      <c r="D55" s="258"/>
      <c r="E55" s="259"/>
      <c r="F55" s="226"/>
    </row>
    <row r="56" spans="1:6">
      <c r="A56" s="242"/>
      <c r="B56" s="260" t="s">
        <v>172</v>
      </c>
      <c r="C56" s="232"/>
      <c r="D56" s="233"/>
      <c r="E56" s="249"/>
      <c r="F56" s="221"/>
    </row>
    <row r="57" spans="1:6">
      <c r="A57" s="250"/>
      <c r="B57" s="260" t="s">
        <v>173</v>
      </c>
      <c r="C57" s="232"/>
      <c r="D57" s="233"/>
      <c r="E57" s="249"/>
      <c r="F57" s="221"/>
    </row>
    <row r="58" spans="1:6">
      <c r="A58" s="250"/>
      <c r="B58" s="260" t="s">
        <v>174</v>
      </c>
      <c r="C58" s="232"/>
      <c r="D58" s="233"/>
      <c r="E58" s="249"/>
      <c r="F58" s="221"/>
    </row>
    <row r="59" spans="1:6">
      <c r="A59" s="244"/>
      <c r="B59" s="260" t="s">
        <v>175</v>
      </c>
      <c r="C59" s="232"/>
      <c r="D59" s="233"/>
      <c r="E59" s="249"/>
      <c r="F59" s="221"/>
    </row>
    <row r="60" spans="1:6">
      <c r="A60" s="256" t="s">
        <v>63</v>
      </c>
      <c r="B60" s="257"/>
      <c r="C60" s="257"/>
      <c r="D60" s="258"/>
      <c r="E60" s="259"/>
      <c r="F60" s="241"/>
    </row>
    <row r="61" spans="1:6">
      <c r="A61" s="261"/>
      <c r="B61" s="262" t="s">
        <v>176</v>
      </c>
      <c r="C61" s="232"/>
      <c r="D61" s="233"/>
      <c r="E61" s="249"/>
      <c r="F61" s="221"/>
    </row>
    <row r="62" spans="1:6">
      <c r="A62" s="263"/>
      <c r="B62" s="264" t="s">
        <v>177</v>
      </c>
      <c r="C62" s="246"/>
      <c r="D62" s="247"/>
      <c r="E62" s="248"/>
      <c r="F62" s="221"/>
    </row>
    <row r="63" spans="1:6">
      <c r="A63" s="256" t="s">
        <v>64</v>
      </c>
      <c r="B63" s="257"/>
      <c r="C63" s="257"/>
      <c r="D63" s="258"/>
      <c r="E63" s="259"/>
      <c r="F63" s="241"/>
    </row>
    <row r="64" spans="1:6">
      <c r="A64" s="265"/>
      <c r="B64" s="262" t="s">
        <v>178</v>
      </c>
      <c r="C64" s="232"/>
      <c r="D64" s="233"/>
      <c r="E64" s="249"/>
      <c r="F64" s="221"/>
    </row>
    <row r="65" spans="1:6">
      <c r="A65" s="266"/>
      <c r="B65" s="262" t="s">
        <v>179</v>
      </c>
      <c r="C65" s="232"/>
      <c r="D65" s="233"/>
      <c r="E65" s="249"/>
      <c r="F65" s="221"/>
    </row>
    <row r="66" spans="1:6">
      <c r="A66" s="266"/>
      <c r="B66" s="262" t="s">
        <v>180</v>
      </c>
      <c r="C66" s="232"/>
      <c r="D66" s="233"/>
      <c r="E66" s="249"/>
      <c r="F66" s="221"/>
    </row>
    <row r="67" spans="1:6">
      <c r="A67" s="267"/>
      <c r="B67" s="262" t="s">
        <v>181</v>
      </c>
      <c r="C67" s="232"/>
      <c r="D67" s="233"/>
      <c r="E67" s="249"/>
      <c r="F67" s="221"/>
    </row>
    <row r="68" spans="1:6">
      <c r="A68" s="75"/>
      <c r="B68" s="75"/>
      <c r="C68" s="75"/>
      <c r="D68" s="75"/>
      <c r="E68" s="75"/>
      <c r="F68" s="75"/>
    </row>
    <row r="69" spans="1:6">
      <c r="A69" s="218" t="s">
        <v>65</v>
      </c>
      <c r="B69" s="219"/>
      <c r="C69" s="219"/>
      <c r="D69" s="220"/>
      <c r="E69" s="251"/>
      <c r="F69" s="217"/>
    </row>
    <row r="70" spans="1:6">
      <c r="A70" s="256" t="s">
        <v>66</v>
      </c>
      <c r="B70" s="257"/>
      <c r="C70" s="257"/>
      <c r="D70" s="258"/>
      <c r="E70" s="259"/>
      <c r="F70" s="226"/>
    </row>
    <row r="71" spans="1:6">
      <c r="A71" s="242"/>
      <c r="B71" s="262" t="s">
        <v>182</v>
      </c>
      <c r="C71" s="232"/>
      <c r="D71" s="233"/>
      <c r="E71" s="249"/>
      <c r="F71" s="221"/>
    </row>
    <row r="72" spans="1:6">
      <c r="A72" s="250"/>
      <c r="B72" s="262" t="s">
        <v>183</v>
      </c>
      <c r="C72" s="232"/>
      <c r="D72" s="233"/>
      <c r="E72" s="249"/>
      <c r="F72" s="221"/>
    </row>
    <row r="73" spans="1:6">
      <c r="A73" s="250"/>
      <c r="B73" s="262" t="s">
        <v>184</v>
      </c>
      <c r="C73" s="232"/>
      <c r="D73" s="233"/>
      <c r="E73" s="249"/>
      <c r="F73" s="221"/>
    </row>
    <row r="74" spans="1:6">
      <c r="A74" s="250"/>
      <c r="B74" s="262" t="s">
        <v>185</v>
      </c>
      <c r="C74" s="232"/>
      <c r="D74" s="233"/>
      <c r="E74" s="249"/>
      <c r="F74" s="221"/>
    </row>
    <row r="75" spans="1:6">
      <c r="A75" s="250"/>
      <c r="B75" s="262" t="s">
        <v>186</v>
      </c>
      <c r="C75" s="232"/>
      <c r="D75" s="233"/>
      <c r="E75" s="249"/>
      <c r="F75" s="221"/>
    </row>
    <row r="76" spans="1:6">
      <c r="A76" s="250"/>
      <c r="B76" s="262" t="s">
        <v>187</v>
      </c>
      <c r="C76" s="232"/>
      <c r="D76" s="233"/>
      <c r="E76" s="249"/>
      <c r="F76" s="221"/>
    </row>
    <row r="77" spans="1:6">
      <c r="A77" s="250"/>
      <c r="B77" s="262" t="s">
        <v>188</v>
      </c>
      <c r="C77" s="232"/>
      <c r="D77" s="233"/>
      <c r="E77" s="249"/>
      <c r="F77" s="221"/>
    </row>
    <row r="78" spans="1:6">
      <c r="A78" s="244"/>
      <c r="B78" s="264" t="s">
        <v>189</v>
      </c>
      <c r="C78" s="246"/>
      <c r="D78" s="247"/>
      <c r="E78" s="248"/>
      <c r="F78" s="221"/>
    </row>
    <row r="79" spans="1:6">
      <c r="A79" s="256" t="s">
        <v>67</v>
      </c>
      <c r="B79" s="257"/>
      <c r="C79" s="257"/>
      <c r="D79" s="258"/>
      <c r="E79" s="259"/>
      <c r="F79" s="241"/>
    </row>
    <row r="80" spans="1:6">
      <c r="A80" s="242"/>
      <c r="B80" s="262" t="s">
        <v>190</v>
      </c>
      <c r="C80" s="232"/>
      <c r="D80" s="233"/>
      <c r="E80" s="249"/>
      <c r="F80" s="221"/>
    </row>
    <row r="81" spans="1:6">
      <c r="A81" s="250"/>
      <c r="B81" s="262" t="s">
        <v>191</v>
      </c>
      <c r="C81" s="232"/>
      <c r="D81" s="233"/>
      <c r="E81" s="249"/>
      <c r="F81" s="221"/>
    </row>
    <row r="82" spans="1:6">
      <c r="A82" s="250"/>
      <c r="B82" s="262" t="s">
        <v>192</v>
      </c>
      <c r="C82" s="232"/>
      <c r="D82" s="233"/>
      <c r="E82" s="249"/>
      <c r="F82" s="221"/>
    </row>
    <row r="83" spans="1:6">
      <c r="A83" s="250"/>
      <c r="B83" s="262" t="s">
        <v>193</v>
      </c>
      <c r="C83" s="232"/>
      <c r="D83" s="233"/>
      <c r="E83" s="249"/>
      <c r="F83" s="221"/>
    </row>
    <row r="84" spans="1:6">
      <c r="A84" s="250"/>
      <c r="B84" s="262" t="s">
        <v>194</v>
      </c>
      <c r="C84" s="232"/>
      <c r="D84" s="233"/>
      <c r="E84" s="249"/>
      <c r="F84" s="221"/>
    </row>
    <row r="85" spans="1:6">
      <c r="A85" s="250"/>
      <c r="B85" s="262" t="s">
        <v>195</v>
      </c>
      <c r="C85" s="232"/>
      <c r="D85" s="233"/>
      <c r="E85" s="249"/>
      <c r="F85" s="221"/>
    </row>
    <row r="86" spans="1:6">
      <c r="A86" s="250"/>
      <c r="B86" s="262" t="s">
        <v>196</v>
      </c>
      <c r="C86" s="232"/>
      <c r="D86" s="233"/>
      <c r="E86" s="249"/>
      <c r="F86" s="221"/>
    </row>
    <row r="87" spans="1:6">
      <c r="A87" s="250"/>
      <c r="B87" s="262" t="s">
        <v>197</v>
      </c>
      <c r="C87" s="232"/>
      <c r="D87" s="233"/>
      <c r="E87" s="249"/>
      <c r="F87" s="221"/>
    </row>
    <row r="88" spans="1:6">
      <c r="A88" s="250"/>
      <c r="B88" s="262" t="s">
        <v>198</v>
      </c>
      <c r="C88" s="232"/>
      <c r="D88" s="233"/>
      <c r="E88" s="249"/>
      <c r="F88" s="221"/>
    </row>
    <row r="89" spans="1:6">
      <c r="A89" s="244"/>
      <c r="B89" s="264" t="s">
        <v>199</v>
      </c>
      <c r="C89" s="246"/>
      <c r="D89" s="247"/>
      <c r="E89" s="248"/>
      <c r="F89" s="221"/>
    </row>
    <row r="90" spans="1:6">
      <c r="A90" s="256" t="s">
        <v>200</v>
      </c>
      <c r="B90" s="257"/>
      <c r="C90" s="257"/>
      <c r="D90" s="258"/>
      <c r="E90" s="259"/>
      <c r="F90" s="241"/>
    </row>
    <row r="91" spans="1:6">
      <c r="A91" s="242"/>
      <c r="B91" s="268" t="s">
        <v>201</v>
      </c>
      <c r="C91" s="229"/>
      <c r="D91" s="230"/>
      <c r="E91" s="243"/>
      <c r="F91" s="221"/>
    </row>
    <row r="92" spans="1:6">
      <c r="A92" s="250"/>
      <c r="B92" s="262" t="s">
        <v>202</v>
      </c>
      <c r="C92" s="232"/>
      <c r="D92" s="233"/>
      <c r="E92" s="249"/>
      <c r="F92" s="221"/>
    </row>
    <row r="93" spans="1:6">
      <c r="A93" s="250"/>
      <c r="B93" s="262" t="s">
        <v>203</v>
      </c>
      <c r="C93" s="232"/>
      <c r="D93" s="233"/>
      <c r="E93" s="249"/>
      <c r="F93" s="221"/>
    </row>
    <row r="94" spans="1:6">
      <c r="A94" s="250"/>
      <c r="B94" s="262" t="s">
        <v>204</v>
      </c>
      <c r="C94" s="232"/>
      <c r="D94" s="233"/>
      <c r="E94" s="249"/>
      <c r="F94" s="221"/>
    </row>
    <row r="95" spans="1:6">
      <c r="A95" s="250"/>
      <c r="B95" s="262" t="s">
        <v>205</v>
      </c>
      <c r="C95" s="232"/>
      <c r="D95" s="233"/>
      <c r="E95" s="249"/>
      <c r="F95" s="221"/>
    </row>
    <row r="96" spans="1:6">
      <c r="A96" s="244"/>
      <c r="B96" s="262" t="s">
        <v>206</v>
      </c>
      <c r="C96" s="232"/>
      <c r="D96" s="233"/>
      <c r="E96" s="249"/>
      <c r="F96" s="221"/>
    </row>
    <row r="98" spans="1:7">
      <c r="A98" s="75"/>
      <c r="B98" s="75"/>
      <c r="C98" s="75"/>
      <c r="D98" s="75"/>
      <c r="E98" s="75"/>
      <c r="F98" s="75"/>
      <c r="G98" s="75"/>
    </row>
    <row r="99" spans="1:7">
      <c r="A99" s="75"/>
      <c r="B99" s="75"/>
      <c r="C99" s="75"/>
      <c r="D99" s="75"/>
      <c r="E99" s="75"/>
      <c r="F99" s="75"/>
      <c r="G99" s="75"/>
    </row>
    <row r="100" spans="1:7">
      <c r="A100" s="75"/>
      <c r="B100" s="75"/>
      <c r="C100" s="75"/>
      <c r="D100" s="75"/>
      <c r="E100" s="75"/>
      <c r="F100" s="75"/>
      <c r="G100" s="75"/>
    </row>
    <row r="101" spans="1:7">
      <c r="A101" s="75"/>
      <c r="B101" s="75"/>
      <c r="C101" s="75"/>
      <c r="D101" s="75"/>
      <c r="E101" s="75"/>
      <c r="F101" s="75"/>
      <c r="G101" s="75"/>
    </row>
    <row r="102" spans="1:7">
      <c r="A102" s="75"/>
      <c r="B102" s="75"/>
      <c r="C102" s="75"/>
      <c r="D102" s="75"/>
      <c r="E102" s="75"/>
      <c r="F102" s="75"/>
      <c r="G102" s="75"/>
    </row>
    <row r="103" spans="1:7">
      <c r="A103" s="75"/>
      <c r="B103" s="75"/>
      <c r="C103" s="75"/>
      <c r="D103" s="75"/>
      <c r="E103" s="75"/>
      <c r="F103" s="75"/>
      <c r="G103" s="75"/>
    </row>
    <row r="104" spans="1:7">
      <c r="A104" s="75"/>
      <c r="B104" s="75"/>
      <c r="C104" s="75"/>
      <c r="D104" s="75"/>
      <c r="E104" s="75"/>
      <c r="F104" s="75"/>
      <c r="G104" s="75"/>
    </row>
    <row r="105" spans="1:7" ht="21">
      <c r="A105" s="302" t="s">
        <v>207</v>
      </c>
      <c r="B105" s="302"/>
      <c r="C105" s="302"/>
      <c r="D105" s="302"/>
      <c r="E105" s="302"/>
      <c r="F105" s="75"/>
      <c r="G105" s="75"/>
    </row>
    <row r="106" spans="1:7" ht="21">
      <c r="A106" s="269"/>
      <c r="B106" s="269"/>
      <c r="C106" s="269"/>
      <c r="D106" s="269"/>
      <c r="E106" s="269"/>
      <c r="F106" s="75"/>
      <c r="G106" s="75"/>
    </row>
    <row r="107" spans="1:7">
      <c r="A107" s="309" t="s">
        <v>37</v>
      </c>
      <c r="B107" s="310"/>
      <c r="C107" s="310"/>
      <c r="D107" s="310"/>
      <c r="E107" s="311"/>
      <c r="F107" s="216" t="s">
        <v>159</v>
      </c>
      <c r="G107" s="75"/>
    </row>
    <row r="108" spans="1:7">
      <c r="A108" s="218" t="s">
        <v>208</v>
      </c>
      <c r="B108" s="270"/>
      <c r="C108" s="270"/>
      <c r="D108" s="270"/>
      <c r="E108" s="270"/>
      <c r="F108" s="216"/>
      <c r="G108" s="75"/>
    </row>
    <row r="109" spans="1:7">
      <c r="A109" s="299" t="s">
        <v>209</v>
      </c>
      <c r="B109" s="300"/>
      <c r="C109" s="300"/>
      <c r="D109" s="300"/>
      <c r="E109" s="301"/>
      <c r="F109" s="271"/>
      <c r="G109" s="75"/>
    </row>
    <row r="110" spans="1:7">
      <c r="A110" s="278" t="s">
        <v>210</v>
      </c>
      <c r="B110" s="279"/>
      <c r="C110" s="279"/>
      <c r="D110" s="279"/>
      <c r="E110" s="279"/>
      <c r="F110" s="271"/>
      <c r="G110" s="75"/>
    </row>
    <row r="111" spans="1:7">
      <c r="A111" s="278" t="s">
        <v>211</v>
      </c>
      <c r="B111" s="279"/>
      <c r="C111" s="279"/>
      <c r="D111" s="279"/>
      <c r="E111" s="279"/>
      <c r="F111" s="271"/>
      <c r="G111" s="75"/>
    </row>
    <row r="112" spans="1:7">
      <c r="A112" s="278" t="s">
        <v>212</v>
      </c>
      <c r="B112" s="279"/>
      <c r="C112" s="279"/>
      <c r="D112" s="279"/>
      <c r="E112" s="279"/>
      <c r="F112" s="271"/>
      <c r="G112" s="75"/>
    </row>
    <row r="113" spans="1:7">
      <c r="A113" s="218" t="s">
        <v>71</v>
      </c>
      <c r="B113" s="270"/>
      <c r="C113" s="270"/>
      <c r="D113" s="270"/>
      <c r="E113" s="270"/>
      <c r="F113" s="272"/>
      <c r="G113" s="75"/>
    </row>
    <row r="114" spans="1:7">
      <c r="A114" s="293" t="s">
        <v>72</v>
      </c>
      <c r="B114" s="294"/>
      <c r="C114" s="294"/>
      <c r="D114" s="294"/>
      <c r="E114" s="295"/>
      <c r="F114" s="271"/>
      <c r="G114" s="75"/>
    </row>
    <row r="115" spans="1:7">
      <c r="A115" s="293" t="s">
        <v>76</v>
      </c>
      <c r="B115" s="294"/>
      <c r="C115" s="294"/>
      <c r="D115" s="294"/>
      <c r="E115" s="295"/>
      <c r="F115" s="271"/>
      <c r="G115" s="75"/>
    </row>
    <row r="116" spans="1:7">
      <c r="A116" s="293" t="s">
        <v>74</v>
      </c>
      <c r="B116" s="294"/>
      <c r="C116" s="294"/>
      <c r="D116" s="294"/>
      <c r="E116" s="295"/>
      <c r="F116" s="271"/>
      <c r="G116" s="75"/>
    </row>
    <row r="117" spans="1:7">
      <c r="A117" s="293" t="s">
        <v>79</v>
      </c>
      <c r="B117" s="294"/>
      <c r="C117" s="294"/>
      <c r="D117" s="294"/>
      <c r="E117" s="295"/>
      <c r="F117" s="271"/>
      <c r="G117" s="75"/>
    </row>
    <row r="118" spans="1:7">
      <c r="A118" s="293" t="s">
        <v>80</v>
      </c>
      <c r="B118" s="294"/>
      <c r="C118" s="294"/>
      <c r="D118" s="294"/>
      <c r="E118" s="295"/>
      <c r="F118" s="271"/>
      <c r="G118" s="75"/>
    </row>
    <row r="119" spans="1:7">
      <c r="A119" s="293" t="s">
        <v>73</v>
      </c>
      <c r="B119" s="294"/>
      <c r="C119" s="294"/>
      <c r="D119" s="294"/>
      <c r="E119" s="295"/>
      <c r="F119" s="271"/>
      <c r="G119" s="75"/>
    </row>
    <row r="120" spans="1:7">
      <c r="A120" s="293" t="s">
        <v>77</v>
      </c>
      <c r="B120" s="294"/>
      <c r="C120" s="294"/>
      <c r="D120" s="294"/>
      <c r="E120" s="295"/>
      <c r="F120" s="271"/>
      <c r="G120" s="75"/>
    </row>
    <row r="121" spans="1:7">
      <c r="A121" s="293" t="s">
        <v>75</v>
      </c>
      <c r="B121" s="294"/>
      <c r="C121" s="294"/>
      <c r="D121" s="294"/>
      <c r="E121" s="295"/>
      <c r="F121" s="271"/>
      <c r="G121" s="75"/>
    </row>
    <row r="122" spans="1:7">
      <c r="A122" s="293" t="s">
        <v>78</v>
      </c>
      <c r="B122" s="294"/>
      <c r="C122" s="294"/>
      <c r="D122" s="294"/>
      <c r="E122" s="295"/>
      <c r="F122" s="271"/>
      <c r="G122" s="75"/>
    </row>
    <row r="123" spans="1:7">
      <c r="A123" s="218" t="s">
        <v>81</v>
      </c>
      <c r="B123" s="270"/>
      <c r="C123" s="270"/>
      <c r="D123" s="270"/>
      <c r="E123" s="270"/>
      <c r="F123" s="273"/>
      <c r="G123" s="75"/>
    </row>
    <row r="124" spans="1:7">
      <c r="A124" s="293" t="s">
        <v>82</v>
      </c>
      <c r="B124" s="294"/>
      <c r="C124" s="294"/>
      <c r="D124" s="294"/>
      <c r="E124" s="295"/>
      <c r="F124" s="271"/>
      <c r="G124" s="75"/>
    </row>
    <row r="125" spans="1:7">
      <c r="A125" s="293" t="s">
        <v>83</v>
      </c>
      <c r="B125" s="294"/>
      <c r="C125" s="294"/>
      <c r="D125" s="294"/>
      <c r="E125" s="295"/>
      <c r="F125" s="271"/>
      <c r="G125" s="75"/>
    </row>
    <row r="126" spans="1:7">
      <c r="A126" s="293" t="s">
        <v>84</v>
      </c>
      <c r="B126" s="294"/>
      <c r="C126" s="294"/>
      <c r="D126" s="294"/>
      <c r="E126" s="295"/>
      <c r="F126" s="271"/>
      <c r="G126" s="75"/>
    </row>
    <row r="127" spans="1:7">
      <c r="A127" s="293" t="s">
        <v>85</v>
      </c>
      <c r="B127" s="294"/>
      <c r="C127" s="294"/>
      <c r="D127" s="294"/>
      <c r="E127" s="295"/>
      <c r="F127" s="271"/>
      <c r="G127" s="75"/>
    </row>
    <row r="128" spans="1:7">
      <c r="A128" s="293" t="s">
        <v>91</v>
      </c>
      <c r="B128" s="294"/>
      <c r="C128" s="294"/>
      <c r="D128" s="294"/>
      <c r="E128" s="295"/>
      <c r="F128" s="271"/>
      <c r="G128" s="75"/>
    </row>
    <row r="129" spans="1:7">
      <c r="A129" s="293" t="s">
        <v>86</v>
      </c>
      <c r="B129" s="294"/>
      <c r="C129" s="294"/>
      <c r="D129" s="294"/>
      <c r="E129" s="295"/>
      <c r="F129" s="271"/>
      <c r="G129" s="75"/>
    </row>
    <row r="130" spans="1:7">
      <c r="A130" s="293" t="s">
        <v>87</v>
      </c>
      <c r="B130" s="294"/>
      <c r="C130" s="294"/>
      <c r="D130" s="294"/>
      <c r="E130" s="295"/>
      <c r="F130" s="271"/>
      <c r="G130" s="75"/>
    </row>
    <row r="131" spans="1:7">
      <c r="A131" s="293" t="s">
        <v>88</v>
      </c>
      <c r="B131" s="294"/>
      <c r="C131" s="294"/>
      <c r="D131" s="294"/>
      <c r="E131" s="295"/>
      <c r="F131" s="271"/>
      <c r="G131" s="75"/>
    </row>
    <row r="132" spans="1:7">
      <c r="A132" s="294" t="s">
        <v>89</v>
      </c>
      <c r="B132" s="294"/>
      <c r="C132" s="294"/>
      <c r="D132" s="294"/>
      <c r="E132" s="295"/>
      <c r="F132" s="271"/>
      <c r="G132" s="75"/>
    </row>
    <row r="133" spans="1:7">
      <c r="A133" s="293" t="s">
        <v>90</v>
      </c>
      <c r="B133" s="294"/>
      <c r="C133" s="294"/>
      <c r="D133" s="294"/>
      <c r="E133" s="295"/>
      <c r="F133" s="271"/>
      <c r="G133" s="75"/>
    </row>
    <row r="134" spans="1:7">
      <c r="A134" s="293" t="s">
        <v>92</v>
      </c>
      <c r="B134" s="294"/>
      <c r="C134" s="294"/>
      <c r="D134" s="294"/>
      <c r="E134" s="295"/>
      <c r="F134" s="271"/>
      <c r="G134" s="75"/>
    </row>
    <row r="135" spans="1:7">
      <c r="A135" s="293" t="s">
        <v>93</v>
      </c>
      <c r="B135" s="294"/>
      <c r="C135" s="294"/>
      <c r="D135" s="294"/>
      <c r="E135" s="295"/>
      <c r="F135" s="271"/>
      <c r="G135" s="75"/>
    </row>
    <row r="136" spans="1:7">
      <c r="A136" s="293" t="s">
        <v>94</v>
      </c>
      <c r="B136" s="294"/>
      <c r="C136" s="294"/>
      <c r="D136" s="294"/>
      <c r="E136" s="295"/>
      <c r="F136" s="271"/>
      <c r="G136" s="75"/>
    </row>
    <row r="137" spans="1:7">
      <c r="A137" s="293" t="s">
        <v>95</v>
      </c>
      <c r="B137" s="294"/>
      <c r="C137" s="294"/>
      <c r="D137" s="294"/>
      <c r="E137" s="295"/>
      <c r="F137" s="271"/>
      <c r="G137" s="75"/>
    </row>
    <row r="138" spans="1:7">
      <c r="A138" s="218" t="s">
        <v>96</v>
      </c>
      <c r="B138" s="270"/>
      <c r="C138" s="270"/>
      <c r="D138" s="270"/>
      <c r="E138" s="274"/>
      <c r="F138" s="273"/>
      <c r="G138" s="75"/>
    </row>
    <row r="139" spans="1:7">
      <c r="A139" s="296" t="s">
        <v>97</v>
      </c>
      <c r="B139" s="297"/>
      <c r="C139" s="297"/>
      <c r="D139" s="297"/>
      <c r="E139" s="298"/>
      <c r="F139" s="271"/>
      <c r="G139" s="75"/>
    </row>
    <row r="140" spans="1:7">
      <c r="A140" s="296" t="s">
        <v>98</v>
      </c>
      <c r="B140" s="297"/>
      <c r="C140" s="297"/>
      <c r="D140" s="297"/>
      <c r="E140" s="298"/>
      <c r="F140" s="271"/>
      <c r="G140" s="75"/>
    </row>
    <row r="141" spans="1:7">
      <c r="A141" s="296" t="s">
        <v>99</v>
      </c>
      <c r="B141" s="297"/>
      <c r="C141" s="297"/>
      <c r="D141" s="297"/>
      <c r="E141" s="298"/>
      <c r="F141" s="271"/>
      <c r="G141" s="75"/>
    </row>
    <row r="142" spans="1:7">
      <c r="A142" s="296" t="s">
        <v>100</v>
      </c>
      <c r="B142" s="297"/>
      <c r="C142" s="297"/>
      <c r="D142" s="297"/>
      <c r="E142" s="298"/>
      <c r="F142" s="271"/>
      <c r="G142" s="75"/>
    </row>
    <row r="143" spans="1:7">
      <c r="A143" s="296" t="s">
        <v>101</v>
      </c>
      <c r="B143" s="297"/>
      <c r="C143" s="297"/>
      <c r="D143" s="297"/>
      <c r="E143" s="298"/>
      <c r="F143" s="271"/>
      <c r="G143" s="75"/>
    </row>
    <row r="144" spans="1:7">
      <c r="A144" s="296" t="s">
        <v>102</v>
      </c>
      <c r="B144" s="297"/>
      <c r="C144" s="297"/>
      <c r="D144" s="297"/>
      <c r="E144" s="298"/>
      <c r="F144" s="271"/>
      <c r="G144" s="75"/>
    </row>
    <row r="145" spans="1:7">
      <c r="A145" s="296" t="s">
        <v>103</v>
      </c>
      <c r="B145" s="297"/>
      <c r="C145" s="297"/>
      <c r="D145" s="297"/>
      <c r="E145" s="298"/>
      <c r="F145" s="271"/>
      <c r="G145" s="75"/>
    </row>
    <row r="146" spans="1:7">
      <c r="A146" s="296" t="s">
        <v>104</v>
      </c>
      <c r="B146" s="297"/>
      <c r="C146" s="297"/>
      <c r="D146" s="297"/>
      <c r="E146" s="298"/>
      <c r="F146" s="271"/>
      <c r="G146" s="75"/>
    </row>
    <row r="147" spans="1:7">
      <c r="A147" s="296" t="s">
        <v>105</v>
      </c>
      <c r="B147" s="297"/>
      <c r="C147" s="297"/>
      <c r="D147" s="297"/>
      <c r="E147" s="298"/>
      <c r="F147" s="271"/>
      <c r="G147" s="75"/>
    </row>
    <row r="148" spans="1:7">
      <c r="A148" s="296" t="s">
        <v>106</v>
      </c>
      <c r="B148" s="297"/>
      <c r="C148" s="297"/>
      <c r="D148" s="297"/>
      <c r="E148" s="298"/>
      <c r="F148" s="271"/>
      <c r="G148" s="75"/>
    </row>
    <row r="149" spans="1:7">
      <c r="A149" s="218" t="s">
        <v>107</v>
      </c>
      <c r="B149" s="270"/>
      <c r="C149" s="270"/>
      <c r="D149" s="270"/>
      <c r="E149" s="274"/>
      <c r="F149" s="273"/>
      <c r="G149" s="75"/>
    </row>
    <row r="150" spans="1:7">
      <c r="A150" s="293" t="s">
        <v>108</v>
      </c>
      <c r="B150" s="294"/>
      <c r="C150" s="294"/>
      <c r="D150" s="294"/>
      <c r="E150" s="295"/>
      <c r="F150" s="271"/>
      <c r="G150" s="75"/>
    </row>
    <row r="151" spans="1:7">
      <c r="A151" s="293" t="s">
        <v>109</v>
      </c>
      <c r="B151" s="294"/>
      <c r="C151" s="294"/>
      <c r="D151" s="294"/>
      <c r="E151" s="295"/>
      <c r="F151" s="271"/>
      <c r="G151" s="75"/>
    </row>
    <row r="152" spans="1:7">
      <c r="A152" s="293" t="s">
        <v>110</v>
      </c>
      <c r="B152" s="294"/>
      <c r="C152" s="294"/>
      <c r="D152" s="294"/>
      <c r="E152" s="295"/>
      <c r="F152" s="271"/>
      <c r="G152" s="75"/>
    </row>
    <row r="153" spans="1:7">
      <c r="A153" s="293" t="s">
        <v>111</v>
      </c>
      <c r="B153" s="294"/>
      <c r="C153" s="294"/>
      <c r="D153" s="294"/>
      <c r="E153" s="295"/>
      <c r="F153" s="271"/>
      <c r="G153" s="75"/>
    </row>
    <row r="154" spans="1:7">
      <c r="A154" s="293" t="s">
        <v>112</v>
      </c>
      <c r="B154" s="294"/>
      <c r="C154" s="294"/>
      <c r="D154" s="294"/>
      <c r="E154" s="295"/>
      <c r="F154" s="271"/>
      <c r="G154" s="75"/>
    </row>
    <row r="155" spans="1:7">
      <c r="A155" s="293" t="s">
        <v>113</v>
      </c>
      <c r="B155" s="294"/>
      <c r="C155" s="294"/>
      <c r="D155" s="294"/>
      <c r="E155" s="295"/>
      <c r="F155" s="271"/>
      <c r="G155" s="75"/>
    </row>
    <row r="156" spans="1:7">
      <c r="A156" s="293" t="s">
        <v>114</v>
      </c>
      <c r="B156" s="294"/>
      <c r="C156" s="294"/>
      <c r="D156" s="294"/>
      <c r="E156" s="295"/>
      <c r="F156" s="271"/>
      <c r="G156" s="75"/>
    </row>
    <row r="157" spans="1:7">
      <c r="A157" s="293" t="s">
        <v>115</v>
      </c>
      <c r="B157" s="294"/>
      <c r="C157" s="294"/>
      <c r="D157" s="294"/>
      <c r="E157" s="295"/>
      <c r="F157" s="271"/>
      <c r="G157" s="75"/>
    </row>
  </sheetData>
  <sheetProtection sheet="1" objects="1" scenarios="1" selectLockedCells="1"/>
  <mergeCells count="48">
    <mergeCell ref="A109:E109"/>
    <mergeCell ref="A8:E8"/>
    <mergeCell ref="A10:E10"/>
    <mergeCell ref="A12:E12"/>
    <mergeCell ref="A51:E51"/>
    <mergeCell ref="A105:E105"/>
    <mergeCell ref="A107:E107"/>
    <mergeCell ref="A131:E131"/>
    <mergeCell ref="A119:E119"/>
    <mergeCell ref="A120:E120"/>
    <mergeCell ref="A121:E121"/>
    <mergeCell ref="A122:E122"/>
    <mergeCell ref="A124:E124"/>
    <mergeCell ref="A125:E125"/>
    <mergeCell ref="A126:E126"/>
    <mergeCell ref="A127:E127"/>
    <mergeCell ref="A128:E128"/>
    <mergeCell ref="A129:E129"/>
    <mergeCell ref="A130:E130"/>
    <mergeCell ref="A139:E139"/>
    <mergeCell ref="A132:E132"/>
    <mergeCell ref="A133:E133"/>
    <mergeCell ref="A134:E134"/>
    <mergeCell ref="A135:E135"/>
    <mergeCell ref="A136:E136"/>
    <mergeCell ref="A137:E137"/>
    <mergeCell ref="A118:E118"/>
    <mergeCell ref="A117:E117"/>
    <mergeCell ref="A116:E116"/>
    <mergeCell ref="A115:E115"/>
    <mergeCell ref="A114:E114"/>
    <mergeCell ref="A152:E152"/>
    <mergeCell ref="A140:E140"/>
    <mergeCell ref="A141:E141"/>
    <mergeCell ref="A142:E142"/>
    <mergeCell ref="A143:E143"/>
    <mergeCell ref="A144:E144"/>
    <mergeCell ref="A145:E145"/>
    <mergeCell ref="A146:E146"/>
    <mergeCell ref="A147:E147"/>
    <mergeCell ref="A148:E148"/>
    <mergeCell ref="A150:E150"/>
    <mergeCell ref="A151:E151"/>
    <mergeCell ref="A153:E153"/>
    <mergeCell ref="A154:E154"/>
    <mergeCell ref="A155:E155"/>
    <mergeCell ref="A156:E156"/>
    <mergeCell ref="A157:E157"/>
  </mergeCells>
  <pageMargins left="0.7" right="0.7" top="0.75" bottom="0.75" header="0.3" footer="0.3"/>
  <pageSetup scale="76" orientation="portrait" r:id="rId1"/>
  <rowBreaks count="2" manualBreakCount="2">
    <brk id="43" max="6" man="1"/>
    <brk id="97" max="16383" man="1"/>
  </row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5" id="{858E1A6F-13FC-462C-A9A3-980F6F2784E0}">
            <xm:f>'Reading Report'!$F$10&lt;0.7</xm:f>
            <x14:dxf>
              <fill>
                <patternFill>
                  <bgColor rgb="FFFFC000"/>
                </patternFill>
              </fill>
            </x14:dxf>
          </x14:cfRule>
          <xm:sqref>A16:E19</xm:sqref>
        </x14:conditionalFormatting>
        <x14:conditionalFormatting xmlns:xm="http://schemas.microsoft.com/office/excel/2006/main">
          <x14:cfRule type="expression" priority="24" id="{9382EED1-E154-453B-B697-7E5C9CB33640}">
            <xm:f>'Reading Report'!$F$11&lt;0.7</xm:f>
            <x14:dxf>
              <fill>
                <patternFill>
                  <bgColor rgb="FFFFC000"/>
                </patternFill>
              </fill>
            </x14:dxf>
          </x14:cfRule>
          <xm:sqref>A20:E20</xm:sqref>
        </x14:conditionalFormatting>
        <x14:conditionalFormatting xmlns:xm="http://schemas.microsoft.com/office/excel/2006/main">
          <x14:cfRule type="expression" priority="22" id="{010C7CA7-2C23-4EE8-8063-4716336BAD1B}">
            <xm:f>'Reading Report'!$F$12&lt; 0.7</xm:f>
            <x14:dxf>
              <fill>
                <patternFill>
                  <bgColor rgb="FFFFC000"/>
                </patternFill>
              </fill>
            </x14:dxf>
          </x14:cfRule>
          <xm:sqref>A21:E21</xm:sqref>
        </x14:conditionalFormatting>
        <x14:conditionalFormatting xmlns:xm="http://schemas.microsoft.com/office/excel/2006/main">
          <x14:cfRule type="expression" priority="21" id="{30D7A109-0CB0-4D99-96EA-08EACAB03D3B}">
            <xm:f>'Reading Report'!$F$13 &lt; 0.7</xm:f>
            <x14:dxf>
              <fill>
                <patternFill>
                  <bgColor rgb="FFFFC000"/>
                </patternFill>
              </fill>
            </x14:dxf>
          </x14:cfRule>
          <xm:sqref>A22:E22</xm:sqref>
        </x14:conditionalFormatting>
        <x14:conditionalFormatting xmlns:xm="http://schemas.microsoft.com/office/excel/2006/main">
          <x14:cfRule type="expression" priority="20" id="{659B4BA6-552A-4077-B5B2-AFD52680B89C}">
            <xm:f>'Reading Report'!$F$14&lt;0.7</xm:f>
            <x14:dxf>
              <fill>
                <patternFill>
                  <bgColor rgb="FFFFC000"/>
                </patternFill>
              </fill>
            </x14:dxf>
          </x14:cfRule>
          <xm:sqref>A23:E23</xm:sqref>
        </x14:conditionalFormatting>
        <x14:conditionalFormatting xmlns:xm="http://schemas.microsoft.com/office/excel/2006/main">
          <x14:cfRule type="expression" priority="19" id="{E0A62D31-166C-4920-ACCF-E28B2D7F15F5}">
            <xm:f>'Reading Report'!$F$15&lt;0.7</xm:f>
            <x14:dxf>
              <fill>
                <patternFill>
                  <bgColor rgb="FFFFC000"/>
                </patternFill>
              </fill>
            </x14:dxf>
          </x14:cfRule>
          <xm:sqref>A24:E24</xm:sqref>
        </x14:conditionalFormatting>
        <x14:conditionalFormatting xmlns:xm="http://schemas.microsoft.com/office/excel/2006/main">
          <x14:cfRule type="expression" priority="18" id="{1E652BB7-BE66-4CBF-A645-7D8CC3C8AB14}">
            <xm:f>'Reading Report'!$F$20&lt;0.7</xm:f>
            <x14:dxf>
              <fill>
                <patternFill>
                  <bgColor rgb="FFFFC000"/>
                </patternFill>
              </fill>
            </x14:dxf>
          </x14:cfRule>
          <xm:sqref>A28:E28</xm:sqref>
        </x14:conditionalFormatting>
        <x14:conditionalFormatting xmlns:xm="http://schemas.microsoft.com/office/excel/2006/main">
          <x14:cfRule type="expression" priority="17" id="{8DA2C87D-88E0-46ED-81D8-D39E7D3527AB}">
            <xm:f>'Reading Report'!$F$21&lt;0.7</xm:f>
            <x14:dxf>
              <fill>
                <patternFill>
                  <bgColor rgb="FFFFC000"/>
                </patternFill>
              </fill>
            </x14:dxf>
          </x14:cfRule>
          <xm:sqref>A29:E31</xm:sqref>
        </x14:conditionalFormatting>
        <x14:conditionalFormatting xmlns:xm="http://schemas.microsoft.com/office/excel/2006/main">
          <x14:cfRule type="expression" priority="16" id="{78240F06-72D4-4FD7-A978-E9C4486D6F49}">
            <xm:f>'Reading Report'!$F$22&lt;0.7</xm:f>
            <x14:dxf>
              <fill>
                <patternFill>
                  <bgColor rgb="FFFFC000"/>
                </patternFill>
              </fill>
            </x14:dxf>
          </x14:cfRule>
          <xm:sqref>A32:E32</xm:sqref>
        </x14:conditionalFormatting>
        <x14:conditionalFormatting xmlns:xm="http://schemas.microsoft.com/office/excel/2006/main">
          <x14:cfRule type="expression" priority="15" id="{D9E04ACF-2D45-42B5-B15B-7AFD0B736844}">
            <xm:f>'Reading Report'!$F$23&lt;0.7</xm:f>
            <x14:dxf>
              <fill>
                <patternFill>
                  <bgColor rgb="FFFFC000"/>
                </patternFill>
              </fill>
            </x14:dxf>
          </x14:cfRule>
          <xm:sqref>A33:E33</xm:sqref>
        </x14:conditionalFormatting>
        <x14:conditionalFormatting xmlns:xm="http://schemas.microsoft.com/office/excel/2006/main">
          <x14:cfRule type="expression" priority="14" id="{E8580B9B-A9DE-4F46-9F15-8FEA4C18A540}">
            <xm:f>'Reading Report'!$F$24&lt;0.7</xm:f>
            <x14:dxf>
              <fill>
                <patternFill>
                  <bgColor rgb="FFFFC000"/>
                </patternFill>
              </fill>
            </x14:dxf>
          </x14:cfRule>
          <xm:sqref>A34:E37</xm:sqref>
        </x14:conditionalFormatting>
        <x14:conditionalFormatting xmlns:xm="http://schemas.microsoft.com/office/excel/2006/main">
          <x14:cfRule type="expression" priority="13" id="{BA0B8586-D5F9-47EE-9385-2FFD0BFFE48C}">
            <xm:f>'Reading Report'!$F$28&lt;0.7</xm:f>
            <x14:dxf>
              <fill>
                <patternFill>
                  <bgColor rgb="FFFFC000"/>
                </patternFill>
              </fill>
            </x14:dxf>
          </x14:cfRule>
          <xm:sqref>A41:E41</xm:sqref>
        </x14:conditionalFormatting>
        <x14:conditionalFormatting xmlns:xm="http://schemas.microsoft.com/office/excel/2006/main">
          <x14:cfRule type="expression" priority="12" id="{A7CB1DEA-2618-4EFB-A35A-630C6419A5A4}">
            <xm:f>'Reading Report'!$F$29&lt;0.7</xm:f>
            <x14:dxf>
              <fill>
                <patternFill>
                  <bgColor rgb="FFFFC000"/>
                </patternFill>
              </fill>
            </x14:dxf>
          </x14:cfRule>
          <xm:sqref>A42:E42</xm:sqref>
        </x14:conditionalFormatting>
        <x14:conditionalFormatting xmlns:xm="http://schemas.microsoft.com/office/excel/2006/main">
          <x14:cfRule type="expression" priority="11" id="{1288AFFD-D353-44DA-986C-6901F1E5D00A}">
            <xm:f>'Reading Report'!$F$35&lt;0.7</xm:f>
            <x14:dxf>
              <fill>
                <patternFill>
                  <bgColor rgb="FFFFC000"/>
                </patternFill>
              </fill>
            </x14:dxf>
          </x14:cfRule>
          <xm:sqref>A55:E59</xm:sqref>
        </x14:conditionalFormatting>
        <x14:conditionalFormatting xmlns:xm="http://schemas.microsoft.com/office/excel/2006/main">
          <x14:cfRule type="expression" priority="10" id="{21CD5A39-D3B9-44E2-A67A-41F195AB5544}">
            <xm:f>'Reading Report'!$F$36&lt;0.7</xm:f>
            <x14:dxf>
              <fill>
                <patternFill>
                  <bgColor rgb="FFFFC000"/>
                </patternFill>
              </fill>
            </x14:dxf>
          </x14:cfRule>
          <xm:sqref>A60:E62</xm:sqref>
        </x14:conditionalFormatting>
        <x14:conditionalFormatting xmlns:xm="http://schemas.microsoft.com/office/excel/2006/main">
          <x14:cfRule type="expression" priority="9" id="{44FD0840-AC08-429F-92D7-3C00489F4F95}">
            <xm:f>'Reading Report'!$F$37&lt;0.7</xm:f>
            <x14:dxf>
              <fill>
                <patternFill>
                  <bgColor rgb="FFFFC000"/>
                </patternFill>
              </fill>
            </x14:dxf>
          </x14:cfRule>
          <xm:sqref>A63:E67</xm:sqref>
        </x14:conditionalFormatting>
        <x14:conditionalFormatting xmlns:xm="http://schemas.microsoft.com/office/excel/2006/main">
          <x14:cfRule type="expression" priority="8" id="{F3078267-9862-477A-A0D2-552E97E59CE4}">
            <xm:f>'Reading Report'!$F$42&lt;0.7</xm:f>
            <x14:dxf>
              <fill>
                <patternFill>
                  <bgColor rgb="FFFFC000"/>
                </patternFill>
              </fill>
            </x14:dxf>
          </x14:cfRule>
          <xm:sqref>A70:E78</xm:sqref>
        </x14:conditionalFormatting>
        <x14:conditionalFormatting xmlns:xm="http://schemas.microsoft.com/office/excel/2006/main">
          <x14:cfRule type="expression" priority="7" id="{24FA276D-E802-4E4D-B633-C4E5008F4B47}">
            <xm:f>'Reading Report'!$F$43&lt;0.7</xm:f>
            <x14:dxf>
              <fill>
                <patternFill>
                  <bgColor rgb="FFFFC000"/>
                </patternFill>
              </fill>
            </x14:dxf>
          </x14:cfRule>
          <xm:sqref>A79:E89</xm:sqref>
        </x14:conditionalFormatting>
        <x14:conditionalFormatting xmlns:xm="http://schemas.microsoft.com/office/excel/2006/main">
          <x14:cfRule type="expression" priority="6" id="{A9EE3418-9F33-4EBB-A21C-5948DB719943}">
            <xm:f>'Reading Report'!$F$44&lt;0.7</xm:f>
            <x14:dxf>
              <fill>
                <patternFill>
                  <bgColor rgb="FFFFC000"/>
                </patternFill>
              </fill>
            </x14:dxf>
          </x14:cfRule>
          <xm:sqref>A90:E96</xm:sqref>
        </x14:conditionalFormatting>
        <x14:conditionalFormatting xmlns:xm="http://schemas.microsoft.com/office/excel/2006/main">
          <x14:cfRule type="expression" priority="5" id="{35776FAE-970F-4EBC-9956-A19443979152}">
            <xm:f>'Math Report'!F12 &lt; 0.7</xm:f>
            <x14:dxf>
              <fill>
                <patternFill>
                  <bgColor rgb="FFFFC000"/>
                </patternFill>
              </fill>
            </x14:dxf>
          </x14:cfRule>
          <xm:sqref>A114:A122</xm:sqref>
        </x14:conditionalFormatting>
        <x14:conditionalFormatting xmlns:xm="http://schemas.microsoft.com/office/excel/2006/main">
          <x14:cfRule type="expression" priority="4" id="{6C0536AF-1380-4375-BBE7-9B528CF6DD61}">
            <xm:f>'Math Report'!F24&lt;0.7</xm:f>
            <x14:dxf>
              <fill>
                <patternFill>
                  <bgColor rgb="FFFFC000"/>
                </patternFill>
              </fill>
            </x14:dxf>
          </x14:cfRule>
          <xm:sqref>A124:E137</xm:sqref>
        </x14:conditionalFormatting>
        <x14:conditionalFormatting xmlns:xm="http://schemas.microsoft.com/office/excel/2006/main">
          <x14:cfRule type="expression" priority="2" id="{189D2961-8B40-4E7C-B0ED-1461A99E13F8}">
            <xm:f>'Math Report'!F53&lt;0.7</xm:f>
            <x14:dxf>
              <fill>
                <patternFill>
                  <bgColor rgb="FFFFC000"/>
                </patternFill>
              </fill>
            </x14:dxf>
          </x14:cfRule>
          <xm:sqref>A139:E148</xm:sqref>
        </x14:conditionalFormatting>
        <x14:conditionalFormatting xmlns:xm="http://schemas.microsoft.com/office/excel/2006/main">
          <x14:cfRule type="expression" priority="1" id="{E67916FF-89C2-4AAE-AA47-36E7282E5428}">
            <xm:f>'Math Report'!F67&lt;0.7</xm:f>
            <x14:dxf>
              <fill>
                <patternFill>
                  <bgColor rgb="FFFFC000"/>
                </patternFill>
              </fill>
            </x14:dxf>
          </x14:cfRule>
          <xm:sqref>A150:E157</xm:sqref>
        </x14:conditionalFormatting>
        <x14:conditionalFormatting xmlns:xm="http://schemas.microsoft.com/office/excel/2006/main">
          <x14:cfRule type="expression" priority="27" id="{35776FAE-970F-4EBC-9956-A19443979152}">
            <xm:f>'Math Report'!G12 &lt; 0.7</xm:f>
            <x14:dxf>
              <fill>
                <patternFill>
                  <bgColor rgb="FFFFC000"/>
                </patternFill>
              </fill>
            </x14:dxf>
          </x14:cfRule>
          <xm:sqref>B114:E122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G163"/>
  <sheetViews>
    <sheetView view="pageLayout" zoomScale="40" zoomScaleNormal="85" zoomScaleSheetLayoutView="70" zoomScalePageLayoutView="40" workbookViewId="0">
      <selection activeCell="C54" sqref="C3:C54"/>
    </sheetView>
  </sheetViews>
  <sheetFormatPr defaultRowHeight="15"/>
  <cols>
    <col min="1" max="1" width="13.7109375" style="105" customWidth="1"/>
    <col min="2" max="3" width="12.7109375" style="105" customWidth="1"/>
    <col min="4" max="4" width="39.85546875" style="106" customWidth="1"/>
    <col min="5" max="5" width="51.42578125" style="106" customWidth="1"/>
    <col min="6" max="6" width="16.42578125" style="75" customWidth="1"/>
    <col min="7" max="7" width="28" customWidth="1"/>
    <col min="8" max="9" width="10.85546875" customWidth="1"/>
    <col min="10" max="10" width="40" customWidth="1"/>
    <col min="11" max="11" width="57.5703125" customWidth="1"/>
  </cols>
  <sheetData>
    <row r="1" spans="1:7" s="75" customFormat="1" ht="48.75" customHeight="1">
      <c r="A1" s="313" t="s">
        <v>13</v>
      </c>
      <c r="B1" s="313"/>
      <c r="C1" s="313"/>
      <c r="D1" s="106"/>
      <c r="E1" s="106"/>
    </row>
    <row r="2" spans="1:7" ht="55.5" customHeight="1">
      <c r="A2" s="118" t="s">
        <v>19</v>
      </c>
      <c r="B2" s="118" t="s">
        <v>128</v>
      </c>
      <c r="C2" s="118" t="s">
        <v>129</v>
      </c>
      <c r="D2" s="118" t="s">
        <v>118</v>
      </c>
      <c r="E2" s="118" t="s">
        <v>119</v>
      </c>
      <c r="F2" s="118" t="s">
        <v>151</v>
      </c>
      <c r="G2" s="118" t="s">
        <v>150</v>
      </c>
    </row>
    <row r="3" spans="1:7" ht="20.25" customHeight="1">
      <c r="A3" s="119">
        <v>1</v>
      </c>
      <c r="B3" s="119" t="str">
        <f>IF(Input!C10=""," ", Input!C10)</f>
        <v xml:space="preserve"> </v>
      </c>
      <c r="C3" s="119" t="str">
        <f>IF(PTKEY=2,'PT Answer Tables'!C4,IF(PTKEY=3,'PT Answer Tables'!D4,IF(PTKEY=4,'PT Answer Tables'!E4,IF(PTKEY=5,'PT Answer Tables'!F4,IF(PTKEY=6,'PT Answer Tables'!G4,IF(PTKEY=7,'PT Answer Tables'!H4,0))))))</f>
        <v>b</v>
      </c>
      <c r="D3" s="119" t="str">
        <f>IF(PTKEY=2,'PT 1 Skill Tables'!C5,IF(PTKEY=3,'PT 2 Skill Tables'!C5,IF(PTKEY=4,'PT 3 Skill Tables'!C5,IF(PTKEY=5,'PT 4 Skill Tables'!C5,IF(PTKEY=6,'PT 5 Skill Tables'!C5,IF(PTKEY=7,'PT 6 Skill Tables'!C5,0))))))</f>
        <v>Information and Ideas</v>
      </c>
      <c r="E3" s="119" t="str">
        <f>IF(PTKEY=2,'PT 1 Skill Tables'!D5,IF(PTKEY=3,'PT 2 Skill Tables'!D5,IF(PTKEY=4,'PT 3 Skill Tables'!D5,IF(PTKEY=5,'PT 4 Skill Tables'!D5,IF(PTKEY=6,'PT 5 Skill Tables'!D5,IF(PTKEY=7,'PT 5 Skill Tables'!D5,0))))))</f>
        <v>Summarizing</v>
      </c>
      <c r="F3" s="120" t="str">
        <f>IF(PTKEY=2,IF('PT 1 Skill Tables'!H5=1,"History",IF('PT 1 Skill Tables'!I5=1,"Science","")),IF(PTKEY=3,IF('PT 2 Skill Tables'!H5=1,"History",IF('PT 2 Skill Tables'!I5=1,"Science","")),IF(PTKEY=4,IF('PT 3 Skill Tables'!H5=1,"History",IF('PT 3 Skill Tables'!I5=1,"Science","")),IF(PTKEY=5,IF('PT 4 Skill Tables'!H5=1,"History",IF('PT 4 Skill Tables'!I5=1,"Science","")),IF(PTKEY=6,IF('PT 5 Skill Tables'!H5=1,"History",IF('PT 5 Skill Tables'!I5=1,"Science","")),IF(PTKEY=7,IF('PT 6 Skill Tables'!H5=1,"History",IF('PT 6 Skill Tables'!I5=1,"Science",""))))))))</f>
        <v/>
      </c>
      <c r="G3" s="120" t="str">
        <f>IF(PTKEY=2,IF('PT 1 Skill Tables'!F5=1,"Words in Context",IF('PT 1 Skill Tables'!G5=1,"Command of Evidence","")),IF(PTKEY=3,IF('PT 2 Skill Tables'!F5=1,"Words in Context",IF('PT 2 Skill Tables'!G5=1,"Command of Evidence","")),IF(PTKEY=4,IF('PT 3 Skill Tables'!F5=1,"Words in Context",IF('PT 3 Skill Tables'!G5=1,"Command of Evidence","")),IF(PTKEY=5,IF('PT 4 Skill Tables'!F5=1,"Words in Context",IF('PT 4 Skill Tables'!G5=1,"Command of Evidence","")),IF(PTKEY=6,IF('PT 5 Skill Tables'!F5=1,"Words in Context",IF('PT 5 Skill Tables'!G5=1,"Command of Evidence","")),IF(PTKEY=7,IF('PT 6 Skill Tables'!F5=1,"Words in Context",IF('PT 6 Skill Tables'!G5=1,"Command of Evidence",""))))))))</f>
        <v/>
      </c>
    </row>
    <row r="4" spans="1:7" ht="20.25" customHeight="1">
      <c r="A4" s="119">
        <v>2</v>
      </c>
      <c r="B4" s="119" t="str">
        <f>IF(Input!C11=""," ", Input!C11)</f>
        <v xml:space="preserve"> </v>
      </c>
      <c r="C4" s="119" t="str">
        <f>IF(PTKEY=2,'PT Answer Tables'!C5,IF(PTKEY=3,'PT Answer Tables'!D5,IF(PTKEY=4,'PT Answer Tables'!E5,IF(PTKEY=5,'PT Answer Tables'!F5,IF(PTKEY=6,'PT Answer Tables'!G5,IF(PTKEY=7,'PT Answer Tables'!H5,0))))))</f>
        <v>b</v>
      </c>
      <c r="D4" s="119" t="str">
        <f>IF(PTKEY=2,'PT 1 Skill Tables'!C6,IF(PTKEY=3,'PT 2 Skill Tables'!C6,IF(PTKEY=4,'PT 3 Skill Tables'!C6,IF(PTKEY=5,'PT 4 Skill Tables'!C6,IF(PTKEY=6,'PT 5 Skill Tables'!C6,IF(PTKEY=7,'PT 6 Skill Tables'!C6,0))))))</f>
        <v>Rhetoric</v>
      </c>
      <c r="E4" s="119" t="str">
        <f>IF(PTKEY=2,'PT 1 Skill Tables'!D6,IF(PTKEY=3,'PT 2 Skill Tables'!D6,IF(PTKEY=4,'PT 3 Skill Tables'!D6,IF(PTKEY=5,'PT 4 Skill Tables'!D6,IF(PTKEY=6,'PT 5 Skill Tables'!D6,IF(PTKEY=7,'PT 5 Skill Tables'!D6,0))))))</f>
        <v>Analyzing Text Structure</v>
      </c>
      <c r="F4" s="120" t="str">
        <f>IF(PTKEY=2,IF('PT 1 Skill Tables'!H6=1,"History",IF('PT 1 Skill Tables'!I6=1,"Science","")),IF(PTKEY=3,IF('PT 2 Skill Tables'!H6=1,"History",IF('PT 2 Skill Tables'!I6=1,"Science","")),IF(PTKEY=4,IF('PT 3 Skill Tables'!H6=1,"History",IF('PT 3 Skill Tables'!I6=1,"Science","")),IF(PTKEY=5,IF('PT 4 Skill Tables'!H6=1,"History",IF('PT 4 Skill Tables'!I6=1,"Science","")),IF(PTKEY=6,IF('PT 5 Skill Tables'!H6=1,"History",IF('PT 5 Skill Tables'!I6=1,"Science","")),IF(PTKEY=7,IF('PT 6 Skill Tables'!H6=1,"History",IF('PT 6 Skill Tables'!I6=1,"Science",""))))))))</f>
        <v/>
      </c>
      <c r="G4" s="120" t="str">
        <f>IF(PTKEY=2,IF('PT 1 Skill Tables'!F6=1,"Words in Context",IF('PT 1 Skill Tables'!G6=1,"Command of Evidence","")),IF(PTKEY=3,IF('PT 2 Skill Tables'!F6=1,"Words in Context",IF('PT 2 Skill Tables'!G6=1,"Command of Evidence","")),IF(PTKEY=4,IF('PT 3 Skill Tables'!F6=1,"Words in Context",IF('PT 3 Skill Tables'!G6=1,"Command of Evidence","")),IF(PTKEY=5,IF('PT 4 Skill Tables'!F6=1,"Words in Context",IF('PT 4 Skill Tables'!G6=1,"Command of Evidence","")),IF(PTKEY=6,IF('PT 5 Skill Tables'!F6=1,"Words in Context",IF('PT 5 Skill Tables'!G6=1,"Command of Evidence","")),IF(PTKEY=7,IF('PT 6 Skill Tables'!F6=1,"Words in Context",IF('PT 6 Skill Tables'!G6=1,"Command of Evidence",""))))))))</f>
        <v/>
      </c>
    </row>
    <row r="5" spans="1:7" ht="20.25" customHeight="1">
      <c r="A5" s="119">
        <v>3</v>
      </c>
      <c r="B5" s="119" t="str">
        <f>IF(Input!C12=""," ", Input!C12)</f>
        <v xml:space="preserve"> </v>
      </c>
      <c r="C5" s="119" t="str">
        <f>IF(PTKEY=2,'PT Answer Tables'!C6,IF(PTKEY=3,'PT Answer Tables'!D6,IF(PTKEY=4,'PT Answer Tables'!E6,IF(PTKEY=5,'PT Answer Tables'!F6,IF(PTKEY=6,'PT Answer Tables'!G6,IF(PTKEY=7,'PT Answer Tables'!H6,0))))))</f>
        <v>c</v>
      </c>
      <c r="D5" s="119" t="str">
        <f>IF(PTKEY=2,'PT 1 Skill Tables'!C7,IF(PTKEY=3,'PT 2 Skill Tables'!C7,IF(PTKEY=4,'PT 3 Skill Tables'!C7,IF(PTKEY=5,'PT 4 Skill Tables'!C7,IF(PTKEY=6,'PT 5 Skill Tables'!C7,IF(PTKEY=7,'PT 6 Skill Tables'!C7,0))))))</f>
        <v>Information and Ideas</v>
      </c>
      <c r="E5" s="119" t="str">
        <f>IF(PTKEY=2,'PT 1 Skill Tables'!D7,IF(PTKEY=3,'PT 2 Skill Tables'!D7,IF(PTKEY=4,'PT 3 Skill Tables'!D7,IF(PTKEY=5,'PT 4 Skill Tables'!D7,IF(PTKEY=6,'PT 5 Skill Tables'!D7,IF(PTKEY=7,'PT 5 Skill Tables'!D7,0))))))</f>
        <v>Interpreting Words and Phrases in Context</v>
      </c>
      <c r="F5" s="120" t="str">
        <f>IF(PTKEY=2,IF('PT 1 Skill Tables'!H7=1,"History",IF('PT 1 Skill Tables'!I7=1,"Science","")),IF(PTKEY=3,IF('PT 2 Skill Tables'!H7=1,"History",IF('PT 2 Skill Tables'!I7=1,"Science","")),IF(PTKEY=4,IF('PT 3 Skill Tables'!H7=1,"History",IF('PT 3 Skill Tables'!I7=1,"Science","")),IF(PTKEY=5,IF('PT 4 Skill Tables'!H7=1,"History",IF('PT 4 Skill Tables'!I7=1,"Science","")),IF(PTKEY=6,IF('PT 5 Skill Tables'!H7=1,"History",IF('PT 5 Skill Tables'!I7=1,"Science","")),IF(PTKEY=7,IF('PT 6 Skill Tables'!H7=1,"History",IF('PT 6 Skill Tables'!I7=1,"Science",""))))))))</f>
        <v/>
      </c>
      <c r="G5" s="120" t="str">
        <f>IF(PTKEY=2,IF('PT 1 Skill Tables'!F7=1,"Words in Context",IF('PT 1 Skill Tables'!G7=1,"Command of Evidence","")),IF(PTKEY=3,IF('PT 2 Skill Tables'!F7=1,"Words in Context",IF('PT 2 Skill Tables'!G7=1,"Command of Evidence","")),IF(PTKEY=4,IF('PT 3 Skill Tables'!F7=1,"Words in Context",IF('PT 3 Skill Tables'!G7=1,"Command of Evidence","")),IF(PTKEY=5,IF('PT 4 Skill Tables'!F7=1,"Words in Context",IF('PT 4 Skill Tables'!G7=1,"Command of Evidence","")),IF(PTKEY=6,IF('PT 5 Skill Tables'!F7=1,"Words in Context",IF('PT 5 Skill Tables'!G7=1,"Command of Evidence","")),IF(PTKEY=7,IF('PT 6 Skill Tables'!F7=1,"Words in Context",IF('PT 6 Skill Tables'!G7=1,"Command of Evidence",""))))))))</f>
        <v>Words in Context</v>
      </c>
    </row>
    <row r="6" spans="1:7" ht="20.25" customHeight="1">
      <c r="A6" s="119">
        <v>4</v>
      </c>
      <c r="B6" s="119" t="str">
        <f>IF(Input!C13=""," ", Input!C13)</f>
        <v xml:space="preserve"> </v>
      </c>
      <c r="C6" s="119" t="str">
        <f>IF(PTKEY=2,'PT Answer Tables'!C7,IF(PTKEY=3,'PT Answer Tables'!D7,IF(PTKEY=4,'PT Answer Tables'!E7,IF(PTKEY=5,'PT Answer Tables'!F7,IF(PTKEY=6,'PT Answer Tables'!G7,IF(PTKEY=7,'PT Answer Tables'!H7,0))))))</f>
        <v>a</v>
      </c>
      <c r="D6" s="119" t="str">
        <f>IF(PTKEY=2,'PT 1 Skill Tables'!C8,IF(PTKEY=3,'PT 2 Skill Tables'!C8,IF(PTKEY=4,'PT 3 Skill Tables'!C8,IF(PTKEY=5,'PT 4 Skill Tables'!C8,IF(PTKEY=6,'PT 5 Skill Tables'!C8,IF(PTKEY=7,'PT 6 Skill Tables'!C8,0))))))</f>
        <v>Information and Ideas</v>
      </c>
      <c r="E6" s="119" t="str">
        <f>IF(PTKEY=2,'PT 1 Skill Tables'!D8,IF(PTKEY=3,'PT 2 Skill Tables'!D8,IF(PTKEY=4,'PT 3 Skill Tables'!D8,IF(PTKEY=5,'PT 4 Skill Tables'!D8,IF(PTKEY=6,'PT 5 Skill Tables'!D8,IF(PTKEY=7,'PT 5 Skill Tables'!D8,0))))))</f>
        <v>Reading Closely</v>
      </c>
      <c r="F6" s="120" t="str">
        <f>IF(PTKEY=2,IF('PT 1 Skill Tables'!H8=1,"History",IF('PT 1 Skill Tables'!I8=1,"Science","")),IF(PTKEY=3,IF('PT 2 Skill Tables'!H8=1,"History",IF('PT 2 Skill Tables'!I8=1,"Science","")),IF(PTKEY=4,IF('PT 3 Skill Tables'!H8=1,"History",IF('PT 3 Skill Tables'!I8=1,"Science","")),IF(PTKEY=5,IF('PT 4 Skill Tables'!H8=1,"History",IF('PT 4 Skill Tables'!I8=1,"Science","")),IF(PTKEY=6,IF('PT 5 Skill Tables'!H8=1,"History",IF('PT 5 Skill Tables'!I8=1,"Science","")),IF(PTKEY=7,IF('PT 6 Skill Tables'!H8=1,"History",IF('PT 6 Skill Tables'!I8=1,"Science",""))))))))</f>
        <v/>
      </c>
      <c r="G6" s="120" t="str">
        <f>IF(PTKEY=2,IF('PT 1 Skill Tables'!F8=1,"Words in Context",IF('PT 1 Skill Tables'!G8=1,"Command of Evidence","")),IF(PTKEY=3,IF('PT 2 Skill Tables'!F8=1,"Words in Context",IF('PT 2 Skill Tables'!G8=1,"Command of Evidence","")),IF(PTKEY=4,IF('PT 3 Skill Tables'!F8=1,"Words in Context",IF('PT 3 Skill Tables'!G8=1,"Command of Evidence","")),IF(PTKEY=5,IF('PT 4 Skill Tables'!F8=1,"Words in Context",IF('PT 4 Skill Tables'!G8=1,"Command of Evidence","")),IF(PTKEY=6,IF('PT 5 Skill Tables'!F8=1,"Words in Context",IF('PT 5 Skill Tables'!G8=1,"Command of Evidence","")),IF(PTKEY=7,IF('PT 6 Skill Tables'!F8=1,"Words in Context",IF('PT 6 Skill Tables'!G8=1,"Command of Evidence",""))))))))</f>
        <v/>
      </c>
    </row>
    <row r="7" spans="1:7" ht="20.25" customHeight="1">
      <c r="A7" s="119">
        <v>5</v>
      </c>
      <c r="B7" s="120" t="str">
        <f>IF(Input!C14=""," ", Input!C14)</f>
        <v xml:space="preserve"> </v>
      </c>
      <c r="C7" s="119" t="str">
        <f>IF(PTKEY=2,'PT Answer Tables'!C8,IF(PTKEY=3,'PT Answer Tables'!D8,IF(PTKEY=4,'PT Answer Tables'!E8,IF(PTKEY=5,'PT Answer Tables'!F8,IF(PTKEY=6,'PT Answer Tables'!G8,IF(PTKEY=7,'PT Answer Tables'!H8,0))))))</f>
        <v>c</v>
      </c>
      <c r="D7" s="119" t="str">
        <f>IF(PTKEY=2,'PT 1 Skill Tables'!C9,IF(PTKEY=3,'PT 2 Skill Tables'!C9,IF(PTKEY=4,'PT 3 Skill Tables'!C9,IF(PTKEY=5,'PT 4 Skill Tables'!C9,IF(PTKEY=6,'PT 5 Skill Tables'!C9,IF(PTKEY=7,'PT 6 Skill Tables'!C9,0))))))</f>
        <v>Information and Ideas</v>
      </c>
      <c r="E7" s="119" t="str">
        <f>IF(PTKEY=2,'PT 1 Skill Tables'!D9,IF(PTKEY=3,'PT 2 Skill Tables'!D9,IF(PTKEY=4,'PT 3 Skill Tables'!D9,IF(PTKEY=5,'PT 4 Skill Tables'!D9,IF(PTKEY=6,'PT 5 Skill Tables'!D9,IF(PTKEY=7,'PT 5 Skill Tables'!D9,0))))))</f>
        <v>Citing Evidence</v>
      </c>
      <c r="F7" s="120" t="str">
        <f>IF(PTKEY=2,IF('PT 1 Skill Tables'!H9=1,"History",IF('PT 1 Skill Tables'!I9=1,"Science","")),IF(PTKEY=3,IF('PT 2 Skill Tables'!H9=1,"History",IF('PT 2 Skill Tables'!I9=1,"Science","")),IF(PTKEY=4,IF('PT 3 Skill Tables'!H9=1,"History",IF('PT 3 Skill Tables'!I9=1,"Science","")),IF(PTKEY=5,IF('PT 4 Skill Tables'!H9=1,"History",IF('PT 4 Skill Tables'!I9=1,"Science","")),IF(PTKEY=6,IF('PT 5 Skill Tables'!H9=1,"History",IF('PT 5 Skill Tables'!I9=1,"Science","")),IF(PTKEY=7,IF('PT 6 Skill Tables'!H9=1,"History",IF('PT 6 Skill Tables'!I9=1,"Science",""))))))))</f>
        <v/>
      </c>
      <c r="G7" s="120" t="str">
        <f>IF(PTKEY=2,IF('PT 1 Skill Tables'!F9=1,"Words in Context",IF('PT 1 Skill Tables'!G9=1,"Command of Evidence","")),IF(PTKEY=3,IF('PT 2 Skill Tables'!F9=1,"Words in Context",IF('PT 2 Skill Tables'!G9=1,"Command of Evidence","")),IF(PTKEY=4,IF('PT 3 Skill Tables'!F9=1,"Words in Context",IF('PT 3 Skill Tables'!G9=1,"Command of Evidence","")),IF(PTKEY=5,IF('PT 4 Skill Tables'!F9=1,"Words in Context",IF('PT 4 Skill Tables'!G9=1,"Command of Evidence","")),IF(PTKEY=6,IF('PT 5 Skill Tables'!F9=1,"Words in Context",IF('PT 5 Skill Tables'!G9=1,"Command of Evidence","")),IF(PTKEY=7,IF('PT 6 Skill Tables'!F9=1,"Words in Context",IF('PT 6 Skill Tables'!G9=1,"Command of Evidence",""))))))))</f>
        <v>Command of Evidence</v>
      </c>
    </row>
    <row r="8" spans="1:7" ht="20.25" customHeight="1">
      <c r="A8" s="119">
        <v>6</v>
      </c>
      <c r="B8" s="120" t="str">
        <f>IF(Input!C15=""," ", Input!C15)</f>
        <v xml:space="preserve"> </v>
      </c>
      <c r="C8" s="119" t="str">
        <f>IF(PTKEY=2,'PT Answer Tables'!C9,IF(PTKEY=3,'PT Answer Tables'!D9,IF(PTKEY=4,'PT Answer Tables'!E9,IF(PTKEY=5,'PT Answer Tables'!F9,IF(PTKEY=6,'PT Answer Tables'!G9,IF(PTKEY=7,'PT Answer Tables'!H9,0))))))</f>
        <v>d</v>
      </c>
      <c r="D8" s="119" t="str">
        <f>IF(PTKEY=2,'PT 1 Skill Tables'!C10,IF(PTKEY=3,'PT 2 Skill Tables'!C10,IF(PTKEY=4,'PT 3 Skill Tables'!C10,IF(PTKEY=5,'PT 4 Skill Tables'!C10,IF(PTKEY=6,'PT 5 Skill Tables'!C10,IF(PTKEY=7,'PT 6 Skill Tables'!C10,0))))))</f>
        <v>Information and Ideas</v>
      </c>
      <c r="E8" s="119" t="str">
        <f>IF(PTKEY=2,'PT 1 Skill Tables'!D10,IF(PTKEY=3,'PT 2 Skill Tables'!D10,IF(PTKEY=4,'PT 3 Skill Tables'!D10,IF(PTKEY=5,'PT 4 Skill Tables'!D10,IF(PTKEY=6,'PT 5 Skill Tables'!D10,IF(PTKEY=7,'PT 5 Skill Tables'!D10,0))))))</f>
        <v>Reading Closely</v>
      </c>
      <c r="F8" s="120" t="str">
        <f>IF(PTKEY=2,IF('PT 1 Skill Tables'!H10=1,"History",IF('PT 1 Skill Tables'!I10=1,"Science","")),IF(PTKEY=3,IF('PT 2 Skill Tables'!H10=1,"History",IF('PT 2 Skill Tables'!I10=1,"Science","")),IF(PTKEY=4,IF('PT 3 Skill Tables'!H10=1,"History",IF('PT 3 Skill Tables'!I10=1,"Science","")),IF(PTKEY=5,IF('PT 4 Skill Tables'!H10=1,"History",IF('PT 4 Skill Tables'!I10=1,"Science","")),IF(PTKEY=6,IF('PT 5 Skill Tables'!H10=1,"History",IF('PT 5 Skill Tables'!I10=1,"Science","")),IF(PTKEY=7,IF('PT 6 Skill Tables'!H10=1,"History",IF('PT 6 Skill Tables'!I10=1,"Science",""))))))))</f>
        <v/>
      </c>
      <c r="G8" s="120" t="str">
        <f>IF(PTKEY=2,IF('PT 1 Skill Tables'!F10=1,"Words in Context",IF('PT 1 Skill Tables'!G10=1,"Command of Evidence","")),IF(PTKEY=3,IF('PT 2 Skill Tables'!F10=1,"Words in Context",IF('PT 2 Skill Tables'!G10=1,"Command of Evidence","")),IF(PTKEY=4,IF('PT 3 Skill Tables'!F10=1,"Words in Context",IF('PT 3 Skill Tables'!G10=1,"Command of Evidence","")),IF(PTKEY=5,IF('PT 4 Skill Tables'!F10=1,"Words in Context",IF('PT 4 Skill Tables'!G10=1,"Command of Evidence","")),IF(PTKEY=6,IF('PT 5 Skill Tables'!F10=1,"Words in Context",IF('PT 5 Skill Tables'!G10=1,"Command of Evidence","")),IF(PTKEY=7,IF('PT 6 Skill Tables'!F10=1,"Words in Context",IF('PT 6 Skill Tables'!G10=1,"Command of Evidence",""))))))))</f>
        <v/>
      </c>
    </row>
    <row r="9" spans="1:7" ht="20.25" customHeight="1">
      <c r="A9" s="119">
        <v>7</v>
      </c>
      <c r="B9" s="120" t="str">
        <f>IF(Input!C16=""," ", Input!C16)</f>
        <v xml:space="preserve"> </v>
      </c>
      <c r="C9" s="119" t="str">
        <f>IF(PTKEY=2,'PT Answer Tables'!C10,IF(PTKEY=3,'PT Answer Tables'!D10,IF(PTKEY=4,'PT Answer Tables'!E10,IF(PTKEY=5,'PT Answer Tables'!F10,IF(PTKEY=6,'PT Answer Tables'!G10,IF(PTKEY=7,'PT Answer Tables'!H10,0))))))</f>
        <v>d</v>
      </c>
      <c r="D9" s="119" t="str">
        <f>IF(PTKEY=2,'PT 1 Skill Tables'!C11,IF(PTKEY=3,'PT 2 Skill Tables'!C11,IF(PTKEY=4,'PT 3 Skill Tables'!C11,IF(PTKEY=5,'PT 4 Skill Tables'!C11,IF(PTKEY=6,'PT 5 Skill Tables'!C11,IF(PTKEY=7,'PT 6 Skill Tables'!C11,0))))))</f>
        <v>Rhetoric</v>
      </c>
      <c r="E9" s="119" t="str">
        <f>IF(PTKEY=2,'PT 1 Skill Tables'!D11,IF(PTKEY=3,'PT 2 Skill Tables'!D11,IF(PTKEY=4,'PT 3 Skill Tables'!D11,IF(PTKEY=5,'PT 4 Skill Tables'!D11,IF(PTKEY=6,'PT 5 Skill Tables'!D11,IF(PTKEY=7,'PT 5 Skill Tables'!D11,0))))))</f>
        <v>Analyzing Purpose</v>
      </c>
      <c r="F9" s="120" t="str">
        <f>IF(PTKEY=2,IF('PT 1 Skill Tables'!H11=1,"History",IF('PT 1 Skill Tables'!I11=1,"Science","")),IF(PTKEY=3,IF('PT 2 Skill Tables'!H11=1,"History",IF('PT 2 Skill Tables'!I11=1,"Science","")),IF(PTKEY=4,IF('PT 3 Skill Tables'!H11=1,"History",IF('PT 3 Skill Tables'!I11=1,"Science","")),IF(PTKEY=5,IF('PT 4 Skill Tables'!H11=1,"History",IF('PT 4 Skill Tables'!I11=1,"Science","")),IF(PTKEY=6,IF('PT 5 Skill Tables'!H11=1,"History",IF('PT 5 Skill Tables'!I11=1,"Science","")),IF(PTKEY=7,IF('PT 6 Skill Tables'!H11=1,"History",IF('PT 6 Skill Tables'!I11=1,"Science",""))))))))</f>
        <v/>
      </c>
      <c r="G9" s="120" t="str">
        <f>IF(PTKEY=2,IF('PT 1 Skill Tables'!F11=1,"Words in Context",IF('PT 1 Skill Tables'!G11=1,"Command of Evidence","")),IF(PTKEY=3,IF('PT 2 Skill Tables'!F11=1,"Words in Context",IF('PT 2 Skill Tables'!G11=1,"Command of Evidence","")),IF(PTKEY=4,IF('PT 3 Skill Tables'!F11=1,"Words in Context",IF('PT 3 Skill Tables'!G11=1,"Command of Evidence","")),IF(PTKEY=5,IF('PT 4 Skill Tables'!F11=1,"Words in Context",IF('PT 4 Skill Tables'!G11=1,"Command of Evidence","")),IF(PTKEY=6,IF('PT 5 Skill Tables'!F11=1,"Words in Context",IF('PT 5 Skill Tables'!G11=1,"Command of Evidence","")),IF(PTKEY=7,IF('PT 6 Skill Tables'!F11=1,"Words in Context",IF('PT 6 Skill Tables'!G11=1,"Command of Evidence",""))))))))</f>
        <v/>
      </c>
    </row>
    <row r="10" spans="1:7" ht="20.25" customHeight="1">
      <c r="A10" s="119">
        <v>8</v>
      </c>
      <c r="B10" s="120" t="str">
        <f>IF(Input!C17=""," ", Input!C17)</f>
        <v xml:space="preserve"> </v>
      </c>
      <c r="C10" s="119" t="str">
        <f>IF(PTKEY=2,'PT Answer Tables'!C11,IF(PTKEY=3,'PT Answer Tables'!D11,IF(PTKEY=4,'PT Answer Tables'!E11,IF(PTKEY=5,'PT Answer Tables'!F11,IF(PTKEY=6,'PT Answer Tables'!G11,IF(PTKEY=7,'PT Answer Tables'!H11,0))))))</f>
        <v>b</v>
      </c>
      <c r="D10" s="119" t="str">
        <f>IF(PTKEY=2,'PT 1 Skill Tables'!C12,IF(PTKEY=3,'PT 2 Skill Tables'!C12,IF(PTKEY=4,'PT 3 Skill Tables'!C12,IF(PTKEY=5,'PT 4 Skill Tables'!C12,IF(PTKEY=6,'PT 5 Skill Tables'!C12,IF(PTKEY=7,'PT 6 Skill Tables'!C12,0))))))</f>
        <v>Information and Ideas</v>
      </c>
      <c r="E10" s="119" t="str">
        <f>IF(PTKEY=2,'PT 1 Skill Tables'!D12,IF(PTKEY=3,'PT 2 Skill Tables'!D12,IF(PTKEY=4,'PT 3 Skill Tables'!D12,IF(PTKEY=5,'PT 4 Skill Tables'!D12,IF(PTKEY=6,'PT 5 Skill Tables'!D12,IF(PTKEY=7,'PT 5 Skill Tables'!D12,0))))))</f>
        <v>Interpreting Words and Phrases in Context</v>
      </c>
      <c r="F10" s="120" t="str">
        <f>IF(PTKEY=2,IF('PT 1 Skill Tables'!H12=1,"History",IF('PT 1 Skill Tables'!I12=1,"Science","")),IF(PTKEY=3,IF('PT 2 Skill Tables'!H12=1,"History",IF('PT 2 Skill Tables'!I12=1,"Science","")),IF(PTKEY=4,IF('PT 3 Skill Tables'!H12=1,"History",IF('PT 3 Skill Tables'!I12=1,"Science","")),IF(PTKEY=5,IF('PT 4 Skill Tables'!H12=1,"History",IF('PT 4 Skill Tables'!I12=1,"Science","")),IF(PTKEY=6,IF('PT 5 Skill Tables'!H12=1,"History",IF('PT 5 Skill Tables'!I12=1,"Science","")),IF(PTKEY=7,IF('PT 6 Skill Tables'!H12=1,"History",IF('PT 6 Skill Tables'!I12=1,"Science",""))))))))</f>
        <v/>
      </c>
      <c r="G10" s="120" t="str">
        <f>IF(PTKEY=2,IF('PT 1 Skill Tables'!F12=1,"Words in Context",IF('PT 1 Skill Tables'!G12=1,"Command of Evidence","")),IF(PTKEY=3,IF('PT 2 Skill Tables'!F12=1,"Words in Context",IF('PT 2 Skill Tables'!G12=1,"Command of Evidence","")),IF(PTKEY=4,IF('PT 3 Skill Tables'!F12=1,"Words in Context",IF('PT 3 Skill Tables'!G12=1,"Command of Evidence","")),IF(PTKEY=5,IF('PT 4 Skill Tables'!F12=1,"Words in Context",IF('PT 4 Skill Tables'!G12=1,"Command of Evidence","")),IF(PTKEY=6,IF('PT 5 Skill Tables'!F12=1,"Words in Context",IF('PT 5 Skill Tables'!G12=1,"Command of Evidence","")),IF(PTKEY=7,IF('PT 6 Skill Tables'!F12=1,"Words in Context",IF('PT 6 Skill Tables'!G12=1,"Command of Evidence",""))))))))</f>
        <v>Words in Context</v>
      </c>
    </row>
    <row r="11" spans="1:7" ht="20.25" customHeight="1">
      <c r="A11" s="119">
        <v>9</v>
      </c>
      <c r="B11" s="120" t="str">
        <f>IF(Input!C18=""," ", Input!C18)</f>
        <v xml:space="preserve"> </v>
      </c>
      <c r="C11" s="119" t="str">
        <f>IF(PTKEY=2,'PT Answer Tables'!C12,IF(PTKEY=3,'PT Answer Tables'!D12,IF(PTKEY=4,'PT Answer Tables'!E12,IF(PTKEY=5,'PT Answer Tables'!F12,IF(PTKEY=6,'PT Answer Tables'!G12,IF(PTKEY=7,'PT Answer Tables'!H12,0))))))</f>
        <v>c</v>
      </c>
      <c r="D11" s="119" t="str">
        <f>IF(PTKEY=2,'PT 1 Skill Tables'!C13,IF(PTKEY=3,'PT 2 Skill Tables'!C13,IF(PTKEY=4,'PT 3 Skill Tables'!C13,IF(PTKEY=5,'PT 4 Skill Tables'!C13,IF(PTKEY=6,'PT 5 Skill Tables'!C13,IF(PTKEY=7,'PT 6 Skill Tables'!C13,0))))))</f>
        <v>Information and Ideas</v>
      </c>
      <c r="E11" s="119" t="str">
        <f>IF(PTKEY=2,'PT 1 Skill Tables'!D13,IF(PTKEY=3,'PT 2 Skill Tables'!D13,IF(PTKEY=4,'PT 3 Skill Tables'!D13,IF(PTKEY=5,'PT 4 Skill Tables'!D13,IF(PTKEY=6,'PT 5 Skill Tables'!D13,IF(PTKEY=7,'PT 5 Skill Tables'!D13,0))))))</f>
        <v>Understanding Relationships</v>
      </c>
      <c r="F11" s="120" t="str">
        <f>IF(PTKEY=2,IF('PT 1 Skill Tables'!H13=1,"History",IF('PT 1 Skill Tables'!I13=1,"Science","")),IF(PTKEY=3,IF('PT 2 Skill Tables'!H13=1,"History",IF('PT 2 Skill Tables'!I13=1,"Science","")),IF(PTKEY=4,IF('PT 3 Skill Tables'!H13=1,"History",IF('PT 3 Skill Tables'!I13=1,"Science","")),IF(PTKEY=5,IF('PT 4 Skill Tables'!H13=1,"History",IF('PT 4 Skill Tables'!I13=1,"Science","")),IF(PTKEY=6,IF('PT 5 Skill Tables'!H13=1,"History",IF('PT 5 Skill Tables'!I13=1,"Science","")),IF(PTKEY=7,IF('PT 6 Skill Tables'!H13=1,"History",IF('PT 6 Skill Tables'!I13=1,"Science",""))))))))</f>
        <v/>
      </c>
      <c r="G11" s="120" t="str">
        <f>IF(PTKEY=2,IF('PT 1 Skill Tables'!F13=1,"Words in Context",IF('PT 1 Skill Tables'!G13=1,"Command of Evidence","")),IF(PTKEY=3,IF('PT 2 Skill Tables'!F13=1,"Words in Context",IF('PT 2 Skill Tables'!G13=1,"Command of Evidence","")),IF(PTKEY=4,IF('PT 3 Skill Tables'!F13=1,"Words in Context",IF('PT 3 Skill Tables'!G13=1,"Command of Evidence","")),IF(PTKEY=5,IF('PT 4 Skill Tables'!F13=1,"Words in Context",IF('PT 4 Skill Tables'!G13=1,"Command of Evidence","")),IF(PTKEY=6,IF('PT 5 Skill Tables'!F13=1,"Words in Context",IF('PT 5 Skill Tables'!G13=1,"Command of Evidence","")),IF(PTKEY=7,IF('PT 6 Skill Tables'!F13=1,"Words in Context",IF('PT 6 Skill Tables'!G13=1,"Command of Evidence",""))))))))</f>
        <v/>
      </c>
    </row>
    <row r="12" spans="1:7" ht="20.25" customHeight="1">
      <c r="A12" s="119">
        <v>10</v>
      </c>
      <c r="B12" s="120" t="str">
        <f>IF(Input!C19=""," ", Input!C19)</f>
        <v xml:space="preserve"> </v>
      </c>
      <c r="C12" s="119" t="str">
        <f>IF(PTKEY=2,'PT Answer Tables'!C13,IF(PTKEY=3,'PT Answer Tables'!D13,IF(PTKEY=4,'PT Answer Tables'!E13,IF(PTKEY=5,'PT Answer Tables'!F13,IF(PTKEY=6,'PT Answer Tables'!G13,IF(PTKEY=7,'PT Answer Tables'!H13,0))))))</f>
        <v>b</v>
      </c>
      <c r="D12" s="119" t="str">
        <f>IF(PTKEY=2,'PT 1 Skill Tables'!C14,IF(PTKEY=3,'PT 2 Skill Tables'!C14,IF(PTKEY=4,'PT 3 Skill Tables'!C14,IF(PTKEY=5,'PT 4 Skill Tables'!C14,IF(PTKEY=6,'PT 5 Skill Tables'!C14,IF(PTKEY=7,'PT 6 Skill Tables'!C14,0))))))</f>
        <v>Information and Ideas</v>
      </c>
      <c r="E12" s="119" t="str">
        <f>IF(PTKEY=2,'PT 1 Skill Tables'!D14,IF(PTKEY=3,'PT 2 Skill Tables'!D14,IF(PTKEY=4,'PT 3 Skill Tables'!D14,IF(PTKEY=5,'PT 4 Skill Tables'!D14,IF(PTKEY=6,'PT 5 Skill Tables'!D14,IF(PTKEY=7,'PT 5 Skill Tables'!D14,0))))))</f>
        <v>Citing Evidence</v>
      </c>
      <c r="F12" s="120" t="str">
        <f>IF(PTKEY=2,IF('PT 1 Skill Tables'!H14=1,"History",IF('PT 1 Skill Tables'!I14=1,"Science","")),IF(PTKEY=3,IF('PT 2 Skill Tables'!H14=1,"History",IF('PT 2 Skill Tables'!I14=1,"Science","")),IF(PTKEY=4,IF('PT 3 Skill Tables'!H14=1,"History",IF('PT 3 Skill Tables'!I14=1,"Science","")),IF(PTKEY=5,IF('PT 4 Skill Tables'!H14=1,"History",IF('PT 4 Skill Tables'!I14=1,"Science","")),IF(PTKEY=6,IF('PT 5 Skill Tables'!H14=1,"History",IF('PT 5 Skill Tables'!I14=1,"Science","")),IF(PTKEY=7,IF('PT 6 Skill Tables'!H14=1,"History",IF('PT 6 Skill Tables'!I14=1,"Science",""))))))))</f>
        <v/>
      </c>
      <c r="G12" s="120" t="str">
        <f>IF(PTKEY=2,IF('PT 1 Skill Tables'!F14=1,"Words in Context",IF('PT 1 Skill Tables'!G14=1,"Command of Evidence","")),IF(PTKEY=3,IF('PT 2 Skill Tables'!F14=1,"Words in Context",IF('PT 2 Skill Tables'!G14=1,"Command of Evidence","")),IF(PTKEY=4,IF('PT 3 Skill Tables'!F14=1,"Words in Context",IF('PT 3 Skill Tables'!G14=1,"Command of Evidence","")),IF(PTKEY=5,IF('PT 4 Skill Tables'!F14=1,"Words in Context",IF('PT 4 Skill Tables'!G14=1,"Command of Evidence","")),IF(PTKEY=6,IF('PT 5 Skill Tables'!F14=1,"Words in Context",IF('PT 5 Skill Tables'!G14=1,"Command of Evidence","")),IF(PTKEY=7,IF('PT 6 Skill Tables'!F14=1,"Words in Context",IF('PT 6 Skill Tables'!G14=1,"Command of Evidence",""))))))))</f>
        <v>Command of Evidence</v>
      </c>
    </row>
    <row r="13" spans="1:7" ht="20.25" customHeight="1">
      <c r="A13" s="119">
        <v>11</v>
      </c>
      <c r="B13" s="120" t="str">
        <f>IF(Input!C20=""," ", Input!C20)</f>
        <v xml:space="preserve"> </v>
      </c>
      <c r="C13" s="119" t="str">
        <f>IF(PTKEY=2,'PT Answer Tables'!C14,IF(PTKEY=3,'PT Answer Tables'!D14,IF(PTKEY=4,'PT Answer Tables'!E14,IF(PTKEY=5,'PT Answer Tables'!F14,IF(PTKEY=6,'PT Answer Tables'!G14,IF(PTKEY=7,'PT Answer Tables'!H14,0))))))</f>
        <v>a</v>
      </c>
      <c r="D13" s="119" t="str">
        <f>IF(PTKEY=2,'PT 1 Skill Tables'!C15,IF(PTKEY=3,'PT 2 Skill Tables'!C15,IF(PTKEY=4,'PT 3 Skill Tables'!C15,IF(PTKEY=5,'PT 4 Skill Tables'!C15,IF(PTKEY=6,'PT 5 Skill Tables'!C15,IF(PTKEY=7,'PT 6 Skill Tables'!C15,0))))))</f>
        <v>Rhetoric</v>
      </c>
      <c r="E13" s="119" t="str">
        <f>IF(PTKEY=2,'PT 1 Skill Tables'!D15,IF(PTKEY=3,'PT 2 Skill Tables'!D15,IF(PTKEY=4,'PT 3 Skill Tables'!D15,IF(PTKEY=5,'PT 4 Skill Tables'!D15,IF(PTKEY=6,'PT 5 Skill Tables'!D15,IF(PTKEY=7,'PT 5 Skill Tables'!D15,0))))))</f>
        <v>Analyzing Purpose</v>
      </c>
      <c r="F13" s="120" t="str">
        <f>IF(PTKEY=2,IF('PT 1 Skill Tables'!H15=1,"History",IF('PT 1 Skill Tables'!I15=1,"Science","")),IF(PTKEY=3,IF('PT 2 Skill Tables'!H15=1,"History",IF('PT 2 Skill Tables'!I15=1,"Science","")),IF(PTKEY=4,IF('PT 3 Skill Tables'!H15=1,"History",IF('PT 3 Skill Tables'!I15=1,"Science","")),IF(PTKEY=5,IF('PT 4 Skill Tables'!H15=1,"History",IF('PT 4 Skill Tables'!I15=1,"Science","")),IF(PTKEY=6,IF('PT 5 Skill Tables'!H15=1,"History",IF('PT 5 Skill Tables'!I15=1,"Science","")),IF(PTKEY=7,IF('PT 6 Skill Tables'!H15=1,"History",IF('PT 6 Skill Tables'!I15=1,"Science",""))))))))</f>
        <v>History</v>
      </c>
      <c r="G13" s="120" t="str">
        <f>IF(PTKEY=2,IF('PT 1 Skill Tables'!F15=1,"Words in Context",IF('PT 1 Skill Tables'!G15=1,"Command of Evidence","")),IF(PTKEY=3,IF('PT 2 Skill Tables'!F15=1,"Words in Context",IF('PT 2 Skill Tables'!G15=1,"Command of Evidence","")),IF(PTKEY=4,IF('PT 3 Skill Tables'!F15=1,"Words in Context",IF('PT 3 Skill Tables'!G15=1,"Command of Evidence","")),IF(PTKEY=5,IF('PT 4 Skill Tables'!F15=1,"Words in Context",IF('PT 4 Skill Tables'!G15=1,"Command of Evidence","")),IF(PTKEY=6,IF('PT 5 Skill Tables'!F15=1,"Words in Context",IF('PT 5 Skill Tables'!G15=1,"Command of Evidence","")),IF(PTKEY=7,IF('PT 6 Skill Tables'!F15=1,"Words in Context",IF('PT 6 Skill Tables'!G15=1,"Command of Evidence",""))))))))</f>
        <v/>
      </c>
    </row>
    <row r="14" spans="1:7" ht="20.25" customHeight="1">
      <c r="A14" s="119">
        <v>12</v>
      </c>
      <c r="B14" s="120" t="str">
        <f>IF(Input!C21=""," ", Input!C21)</f>
        <v xml:space="preserve"> </v>
      </c>
      <c r="C14" s="119" t="str">
        <f>IF(PTKEY=2,'PT Answer Tables'!C15,IF(PTKEY=3,'PT Answer Tables'!D15,IF(PTKEY=4,'PT Answer Tables'!E15,IF(PTKEY=5,'PT Answer Tables'!F15,IF(PTKEY=6,'PT Answer Tables'!G15,IF(PTKEY=7,'PT Answer Tables'!H15,0))))))</f>
        <v>b</v>
      </c>
      <c r="D14" s="119" t="str">
        <f>IF(PTKEY=2,'PT 1 Skill Tables'!C16,IF(PTKEY=3,'PT 2 Skill Tables'!C16,IF(PTKEY=4,'PT 3 Skill Tables'!C16,IF(PTKEY=5,'PT 4 Skill Tables'!C16,IF(PTKEY=6,'PT 5 Skill Tables'!C16,IF(PTKEY=7,'PT 6 Skill Tables'!C16,0))))))</f>
        <v>Information and Ideas</v>
      </c>
      <c r="E14" s="119" t="str">
        <f>IF(PTKEY=2,'PT 1 Skill Tables'!D16,IF(PTKEY=3,'PT 2 Skill Tables'!D16,IF(PTKEY=4,'PT 3 Skill Tables'!D16,IF(PTKEY=5,'PT 4 Skill Tables'!D16,IF(PTKEY=6,'PT 5 Skill Tables'!D16,IF(PTKEY=7,'PT 5 Skill Tables'!D16,0))))))</f>
        <v>Interpreting Words and Phrases in Context</v>
      </c>
      <c r="F14" s="120" t="str">
        <f>IF(PTKEY=2,IF('PT 1 Skill Tables'!H16=1,"History",IF('PT 1 Skill Tables'!I16=1,"Science","")),IF(PTKEY=3,IF('PT 2 Skill Tables'!H16=1,"History",IF('PT 2 Skill Tables'!I16=1,"Science","")),IF(PTKEY=4,IF('PT 3 Skill Tables'!H16=1,"History",IF('PT 3 Skill Tables'!I16=1,"Science","")),IF(PTKEY=5,IF('PT 4 Skill Tables'!H16=1,"History",IF('PT 4 Skill Tables'!I16=1,"Science","")),IF(PTKEY=6,IF('PT 5 Skill Tables'!H16=1,"History",IF('PT 5 Skill Tables'!I16=1,"Science","")),IF(PTKEY=7,IF('PT 6 Skill Tables'!H16=1,"History",IF('PT 6 Skill Tables'!I16=1,"Science",""))))))))</f>
        <v>History</v>
      </c>
      <c r="G14" s="120" t="str">
        <f>IF(PTKEY=2,IF('PT 1 Skill Tables'!F16=1,"Words in Context",IF('PT 1 Skill Tables'!G16=1,"Command of Evidence","")),IF(PTKEY=3,IF('PT 2 Skill Tables'!F16=1,"Words in Context",IF('PT 2 Skill Tables'!G16=1,"Command of Evidence","")),IF(PTKEY=4,IF('PT 3 Skill Tables'!F16=1,"Words in Context",IF('PT 3 Skill Tables'!G16=1,"Command of Evidence","")),IF(PTKEY=5,IF('PT 4 Skill Tables'!F16=1,"Words in Context",IF('PT 4 Skill Tables'!G16=1,"Command of Evidence","")),IF(PTKEY=6,IF('PT 5 Skill Tables'!F16=1,"Words in Context",IF('PT 5 Skill Tables'!G16=1,"Command of Evidence","")),IF(PTKEY=7,IF('PT 6 Skill Tables'!F16=1,"Words in Context",IF('PT 6 Skill Tables'!G16=1,"Command of Evidence",""))))))))</f>
        <v>Words in Context</v>
      </c>
    </row>
    <row r="15" spans="1:7" ht="20.25" customHeight="1">
      <c r="A15" s="119">
        <v>13</v>
      </c>
      <c r="B15" s="120" t="str">
        <f>IF(Input!C22=""," ", Input!C22)</f>
        <v xml:space="preserve"> </v>
      </c>
      <c r="C15" s="119" t="str">
        <f>IF(PTKEY=2,'PT Answer Tables'!C16,IF(PTKEY=3,'PT Answer Tables'!D16,IF(PTKEY=4,'PT Answer Tables'!E16,IF(PTKEY=5,'PT Answer Tables'!F16,IF(PTKEY=6,'PT Answer Tables'!G16,IF(PTKEY=7,'PT Answer Tables'!H16,0))))))</f>
        <v>d</v>
      </c>
      <c r="D15" s="119" t="str">
        <f>IF(PTKEY=2,'PT 1 Skill Tables'!C17,IF(PTKEY=3,'PT 2 Skill Tables'!C17,IF(PTKEY=4,'PT 3 Skill Tables'!C17,IF(PTKEY=5,'PT 4 Skill Tables'!C17,IF(PTKEY=6,'PT 5 Skill Tables'!C17,IF(PTKEY=7,'PT 6 Skill Tables'!C17,0))))))</f>
        <v>Information and Ideas</v>
      </c>
      <c r="E15" s="119" t="str">
        <f>IF(PTKEY=2,'PT 1 Skill Tables'!D17,IF(PTKEY=3,'PT 2 Skill Tables'!D17,IF(PTKEY=4,'PT 3 Skill Tables'!D17,IF(PTKEY=5,'PT 4 Skill Tables'!D17,IF(PTKEY=6,'PT 5 Skill Tables'!D17,IF(PTKEY=7,'PT 5 Skill Tables'!D17,0))))))</f>
        <v>Reading Closely</v>
      </c>
      <c r="F15" s="120" t="str">
        <f>IF(PTKEY=2,IF('PT 1 Skill Tables'!H17=1,"History",IF('PT 1 Skill Tables'!I17=1,"Science","")),IF(PTKEY=3,IF('PT 2 Skill Tables'!H17=1,"History",IF('PT 2 Skill Tables'!I17=1,"Science","")),IF(PTKEY=4,IF('PT 3 Skill Tables'!H17=1,"History",IF('PT 3 Skill Tables'!I17=1,"Science","")),IF(PTKEY=5,IF('PT 4 Skill Tables'!H17=1,"History",IF('PT 4 Skill Tables'!I17=1,"Science","")),IF(PTKEY=6,IF('PT 5 Skill Tables'!H17=1,"History",IF('PT 5 Skill Tables'!I17=1,"Science","")),IF(PTKEY=7,IF('PT 6 Skill Tables'!H17=1,"History",IF('PT 6 Skill Tables'!I17=1,"Science",""))))))))</f>
        <v>History</v>
      </c>
      <c r="G15" s="120" t="str">
        <f>IF(PTKEY=2,IF('PT 1 Skill Tables'!F17=1,"Words in Context",IF('PT 1 Skill Tables'!G17=1,"Command of Evidence","")),IF(PTKEY=3,IF('PT 2 Skill Tables'!F17=1,"Words in Context",IF('PT 2 Skill Tables'!G17=1,"Command of Evidence","")),IF(PTKEY=4,IF('PT 3 Skill Tables'!F17=1,"Words in Context",IF('PT 3 Skill Tables'!G17=1,"Command of Evidence","")),IF(PTKEY=5,IF('PT 4 Skill Tables'!F17=1,"Words in Context",IF('PT 4 Skill Tables'!G17=1,"Command of Evidence","")),IF(PTKEY=6,IF('PT 5 Skill Tables'!F17=1,"Words in Context",IF('PT 5 Skill Tables'!G17=1,"Command of Evidence","")),IF(PTKEY=7,IF('PT 6 Skill Tables'!F17=1,"Words in Context",IF('PT 6 Skill Tables'!G17=1,"Command of Evidence",""))))))))</f>
        <v/>
      </c>
    </row>
    <row r="16" spans="1:7" ht="20.25" customHeight="1">
      <c r="A16" s="119">
        <v>14</v>
      </c>
      <c r="B16" s="120" t="str">
        <f>IF(Input!C23=""," ", Input!C23)</f>
        <v xml:space="preserve"> </v>
      </c>
      <c r="C16" s="119" t="str">
        <f>IF(PTKEY=2,'PT Answer Tables'!C17,IF(PTKEY=3,'PT Answer Tables'!D17,IF(PTKEY=4,'PT Answer Tables'!E17,IF(PTKEY=5,'PT Answer Tables'!F17,IF(PTKEY=6,'PT Answer Tables'!G17,IF(PTKEY=7,'PT Answer Tables'!H17,0))))))</f>
        <v>a</v>
      </c>
      <c r="D16" s="119" t="str">
        <f>IF(PTKEY=2,'PT 1 Skill Tables'!C18,IF(PTKEY=3,'PT 2 Skill Tables'!C18,IF(PTKEY=4,'PT 3 Skill Tables'!C18,IF(PTKEY=5,'PT 4 Skill Tables'!C18,IF(PTKEY=6,'PT 5 Skill Tables'!C18,IF(PTKEY=7,'PT 6 Skill Tables'!C18,0))))))</f>
        <v>Information and Ideas</v>
      </c>
      <c r="E16" s="119" t="str">
        <f>IF(PTKEY=2,'PT 1 Skill Tables'!D18,IF(PTKEY=3,'PT 2 Skill Tables'!D18,IF(PTKEY=4,'PT 3 Skill Tables'!D18,IF(PTKEY=5,'PT 4 Skill Tables'!D18,IF(PTKEY=6,'PT 5 Skill Tables'!D18,IF(PTKEY=7,'PT 5 Skill Tables'!D18,0))))))</f>
        <v>Citing Evidence</v>
      </c>
      <c r="F16" s="120" t="str">
        <f>IF(PTKEY=2,IF('PT 1 Skill Tables'!H18=1,"History",IF('PT 1 Skill Tables'!I18=1,"Science","")),IF(PTKEY=3,IF('PT 2 Skill Tables'!H18=1,"History",IF('PT 2 Skill Tables'!I18=1,"Science","")),IF(PTKEY=4,IF('PT 3 Skill Tables'!H18=1,"History",IF('PT 3 Skill Tables'!I18=1,"Science","")),IF(PTKEY=5,IF('PT 4 Skill Tables'!H18=1,"History",IF('PT 4 Skill Tables'!I18=1,"Science","")),IF(PTKEY=6,IF('PT 5 Skill Tables'!H18=1,"History",IF('PT 5 Skill Tables'!I18=1,"Science","")),IF(PTKEY=7,IF('PT 6 Skill Tables'!H18=1,"History",IF('PT 6 Skill Tables'!I18=1,"Science",""))))))))</f>
        <v>History</v>
      </c>
      <c r="G16" s="120" t="str">
        <f>IF(PTKEY=2,IF('PT 1 Skill Tables'!F18=1,"Words in Context",IF('PT 1 Skill Tables'!G18=1,"Command of Evidence","")),IF(PTKEY=3,IF('PT 2 Skill Tables'!F18=1,"Words in Context",IF('PT 2 Skill Tables'!G18=1,"Command of Evidence","")),IF(PTKEY=4,IF('PT 3 Skill Tables'!F18=1,"Words in Context",IF('PT 3 Skill Tables'!G18=1,"Command of Evidence","")),IF(PTKEY=5,IF('PT 4 Skill Tables'!F18=1,"Words in Context",IF('PT 4 Skill Tables'!G18=1,"Command of Evidence","")),IF(PTKEY=6,IF('PT 5 Skill Tables'!F18=1,"Words in Context",IF('PT 5 Skill Tables'!G18=1,"Command of Evidence","")),IF(PTKEY=7,IF('PT 6 Skill Tables'!F18=1,"Words in Context",IF('PT 6 Skill Tables'!G18=1,"Command of Evidence",""))))))))</f>
        <v>Command of Evidence</v>
      </c>
    </row>
    <row r="17" spans="1:7" ht="20.25" customHeight="1">
      <c r="A17" s="119">
        <v>15</v>
      </c>
      <c r="B17" s="120" t="str">
        <f>IF(Input!C24=""," ", Input!C24)</f>
        <v xml:space="preserve"> </v>
      </c>
      <c r="C17" s="119" t="str">
        <f>IF(PTKEY=2,'PT Answer Tables'!C18,IF(PTKEY=3,'PT Answer Tables'!D18,IF(PTKEY=4,'PT Answer Tables'!E18,IF(PTKEY=5,'PT Answer Tables'!F18,IF(PTKEY=6,'PT Answer Tables'!G18,IF(PTKEY=7,'PT Answer Tables'!H18,0))))))</f>
        <v>a</v>
      </c>
      <c r="D17" s="119" t="str">
        <f>IF(PTKEY=2,'PT 1 Skill Tables'!C19,IF(PTKEY=3,'PT 2 Skill Tables'!C19,IF(PTKEY=4,'PT 3 Skill Tables'!C19,IF(PTKEY=5,'PT 4 Skill Tables'!C19,IF(PTKEY=6,'PT 5 Skill Tables'!C19,IF(PTKEY=7,'PT 6 Skill Tables'!C19,0))))))</f>
        <v>Rhetoric</v>
      </c>
      <c r="E17" s="119" t="str">
        <f>IF(PTKEY=2,'PT 1 Skill Tables'!D19,IF(PTKEY=3,'PT 2 Skill Tables'!D19,IF(PTKEY=4,'PT 3 Skill Tables'!D19,IF(PTKEY=5,'PT 4 Skill Tables'!D19,IF(PTKEY=6,'PT 5 Skill Tables'!D19,IF(PTKEY=7,'PT 5 Skill Tables'!D19,0))))))</f>
        <v>Analyzing Point of View</v>
      </c>
      <c r="F17" s="120" t="str">
        <f>IF(PTKEY=2,IF('PT 1 Skill Tables'!H19=1,"History",IF('PT 1 Skill Tables'!I19=1,"Science","")),IF(PTKEY=3,IF('PT 2 Skill Tables'!H19=1,"History",IF('PT 2 Skill Tables'!I19=1,"Science","")),IF(PTKEY=4,IF('PT 3 Skill Tables'!H19=1,"History",IF('PT 3 Skill Tables'!I19=1,"Science","")),IF(PTKEY=5,IF('PT 4 Skill Tables'!H19=1,"History",IF('PT 4 Skill Tables'!I19=1,"Science","")),IF(PTKEY=6,IF('PT 5 Skill Tables'!H19=1,"History",IF('PT 5 Skill Tables'!I19=1,"Science","")),IF(PTKEY=7,IF('PT 6 Skill Tables'!H19=1,"History",IF('PT 6 Skill Tables'!I19=1,"Science",""))))))))</f>
        <v>History</v>
      </c>
      <c r="G17" s="120" t="str">
        <f>IF(PTKEY=2,IF('PT 1 Skill Tables'!F19=1,"Words in Context",IF('PT 1 Skill Tables'!G19=1,"Command of Evidence","")),IF(PTKEY=3,IF('PT 2 Skill Tables'!F19=1,"Words in Context",IF('PT 2 Skill Tables'!G19=1,"Command of Evidence","")),IF(PTKEY=4,IF('PT 3 Skill Tables'!F19=1,"Words in Context",IF('PT 3 Skill Tables'!G19=1,"Command of Evidence","")),IF(PTKEY=5,IF('PT 4 Skill Tables'!F19=1,"Words in Context",IF('PT 4 Skill Tables'!G19=1,"Command of Evidence","")),IF(PTKEY=6,IF('PT 5 Skill Tables'!F19=1,"Words in Context",IF('PT 5 Skill Tables'!G19=1,"Command of Evidence","")),IF(PTKEY=7,IF('PT 6 Skill Tables'!F19=1,"Words in Context",IF('PT 6 Skill Tables'!G19=1,"Command of Evidence",""))))))))</f>
        <v/>
      </c>
    </row>
    <row r="18" spans="1:7" ht="20.25" customHeight="1">
      <c r="A18" s="119">
        <v>16</v>
      </c>
      <c r="B18" s="120" t="str">
        <f>IF(Input!C25=""," ", Input!C25)</f>
        <v xml:space="preserve"> </v>
      </c>
      <c r="C18" s="119" t="str">
        <f>IF(PTKEY=2,'PT Answer Tables'!C19,IF(PTKEY=3,'PT Answer Tables'!D19,IF(PTKEY=4,'PT Answer Tables'!E19,IF(PTKEY=5,'PT Answer Tables'!F19,IF(PTKEY=6,'PT Answer Tables'!G19,IF(PTKEY=7,'PT Answer Tables'!H19,0))))))</f>
        <v>c</v>
      </c>
      <c r="D18" s="119" t="str">
        <f>IF(PTKEY=2,'PT 1 Skill Tables'!C20,IF(PTKEY=3,'PT 2 Skill Tables'!C20,IF(PTKEY=4,'PT 3 Skill Tables'!C20,IF(PTKEY=5,'PT 4 Skill Tables'!C20,IF(PTKEY=6,'PT 5 Skill Tables'!C20,IF(PTKEY=7,'PT 6 Skill Tables'!C20,0))))))</f>
        <v>Information and Ideas</v>
      </c>
      <c r="E18" s="119" t="str">
        <f>IF(PTKEY=2,'PT 1 Skill Tables'!D20,IF(PTKEY=3,'PT 2 Skill Tables'!D20,IF(PTKEY=4,'PT 3 Skill Tables'!D20,IF(PTKEY=5,'PT 4 Skill Tables'!D20,IF(PTKEY=6,'PT 5 Skill Tables'!D20,IF(PTKEY=7,'PT 5 Skill Tables'!D20,0))))))</f>
        <v>Reading Closely</v>
      </c>
      <c r="F18" s="120" t="str">
        <f>IF(PTKEY=2,IF('PT 1 Skill Tables'!H20=1,"History",IF('PT 1 Skill Tables'!I20=1,"Science","")),IF(PTKEY=3,IF('PT 2 Skill Tables'!H20=1,"History",IF('PT 2 Skill Tables'!I20=1,"Science","")),IF(PTKEY=4,IF('PT 3 Skill Tables'!H20=1,"History",IF('PT 3 Skill Tables'!I20=1,"Science","")),IF(PTKEY=5,IF('PT 4 Skill Tables'!H20=1,"History",IF('PT 4 Skill Tables'!I20=1,"Science","")),IF(PTKEY=6,IF('PT 5 Skill Tables'!H20=1,"History",IF('PT 5 Skill Tables'!I20=1,"Science","")),IF(PTKEY=7,IF('PT 6 Skill Tables'!H20=1,"History",IF('PT 6 Skill Tables'!I20=1,"Science",""))))))))</f>
        <v>History</v>
      </c>
      <c r="G18" s="120" t="str">
        <f>IF(PTKEY=2,IF('PT 1 Skill Tables'!F20=1,"Words in Context",IF('PT 1 Skill Tables'!G20=1,"Command of Evidence","")),IF(PTKEY=3,IF('PT 2 Skill Tables'!F20=1,"Words in Context",IF('PT 2 Skill Tables'!G20=1,"Command of Evidence","")),IF(PTKEY=4,IF('PT 3 Skill Tables'!F20=1,"Words in Context",IF('PT 3 Skill Tables'!G20=1,"Command of Evidence","")),IF(PTKEY=5,IF('PT 4 Skill Tables'!F20=1,"Words in Context",IF('PT 4 Skill Tables'!G20=1,"Command of Evidence","")),IF(PTKEY=6,IF('PT 5 Skill Tables'!F20=1,"Words in Context",IF('PT 5 Skill Tables'!G20=1,"Command of Evidence","")),IF(PTKEY=7,IF('PT 6 Skill Tables'!F20=1,"Words in Context",IF('PT 6 Skill Tables'!G20=1,"Command of Evidence",""))))))))</f>
        <v/>
      </c>
    </row>
    <row r="19" spans="1:7" ht="20.25" customHeight="1">
      <c r="A19" s="119">
        <v>17</v>
      </c>
      <c r="B19" s="120" t="str">
        <f>IF(Input!C26=""," ", Input!C26)</f>
        <v xml:space="preserve"> </v>
      </c>
      <c r="C19" s="119" t="str">
        <f>IF(PTKEY=2,'PT Answer Tables'!C20,IF(PTKEY=3,'PT Answer Tables'!D20,IF(PTKEY=4,'PT Answer Tables'!E20,IF(PTKEY=5,'PT Answer Tables'!F20,IF(PTKEY=6,'PT Answer Tables'!G20,IF(PTKEY=7,'PT Answer Tables'!H20,0))))))</f>
        <v>c</v>
      </c>
      <c r="D19" s="119" t="str">
        <f>IF(PTKEY=2,'PT 1 Skill Tables'!C21,IF(PTKEY=3,'PT 2 Skill Tables'!C21,IF(PTKEY=4,'PT 3 Skill Tables'!C21,IF(PTKEY=5,'PT 4 Skill Tables'!C21,IF(PTKEY=6,'PT 5 Skill Tables'!C21,IF(PTKEY=7,'PT 6 Skill Tables'!C21,0))))))</f>
        <v>Information and Ideas</v>
      </c>
      <c r="E19" s="119" t="str">
        <f>IF(PTKEY=2,'PT 1 Skill Tables'!D21,IF(PTKEY=3,'PT 2 Skill Tables'!D21,IF(PTKEY=4,'PT 3 Skill Tables'!D21,IF(PTKEY=5,'PT 4 Skill Tables'!D21,IF(PTKEY=6,'PT 5 Skill Tables'!D21,IF(PTKEY=7,'PT 5 Skill Tables'!D21,0))))))</f>
        <v>Citing Evidence</v>
      </c>
      <c r="F19" s="120" t="str">
        <f>IF(PTKEY=2,IF('PT 1 Skill Tables'!H21=1,"History",IF('PT 1 Skill Tables'!I21=1,"Science","")),IF(PTKEY=3,IF('PT 2 Skill Tables'!H21=1,"History",IF('PT 2 Skill Tables'!I21=1,"Science","")),IF(PTKEY=4,IF('PT 3 Skill Tables'!H21=1,"History",IF('PT 3 Skill Tables'!I21=1,"Science","")),IF(PTKEY=5,IF('PT 4 Skill Tables'!H21=1,"History",IF('PT 4 Skill Tables'!I21=1,"Science","")),IF(PTKEY=6,IF('PT 5 Skill Tables'!H21=1,"History",IF('PT 5 Skill Tables'!I21=1,"Science","")),IF(PTKEY=7,IF('PT 6 Skill Tables'!H21=1,"History",IF('PT 6 Skill Tables'!I21=1,"Science",""))))))))</f>
        <v>History</v>
      </c>
      <c r="G19" s="120" t="str">
        <f>IF(PTKEY=2,IF('PT 1 Skill Tables'!F21=1,"Words in Context",IF('PT 1 Skill Tables'!G21=1,"Command of Evidence","")),IF(PTKEY=3,IF('PT 2 Skill Tables'!F21=1,"Words in Context",IF('PT 2 Skill Tables'!G21=1,"Command of Evidence","")),IF(PTKEY=4,IF('PT 3 Skill Tables'!F21=1,"Words in Context",IF('PT 3 Skill Tables'!G21=1,"Command of Evidence","")),IF(PTKEY=5,IF('PT 4 Skill Tables'!F21=1,"Words in Context",IF('PT 4 Skill Tables'!G21=1,"Command of Evidence","")),IF(PTKEY=6,IF('PT 5 Skill Tables'!F21=1,"Words in Context",IF('PT 5 Skill Tables'!G21=1,"Command of Evidence","")),IF(PTKEY=7,IF('PT 6 Skill Tables'!F21=1,"Words in Context",IF('PT 6 Skill Tables'!G21=1,"Command of Evidence",""))))))))</f>
        <v>Command of Evidence</v>
      </c>
    </row>
    <row r="20" spans="1:7" ht="20.25" customHeight="1">
      <c r="A20" s="119">
        <v>18</v>
      </c>
      <c r="B20" s="120" t="str">
        <f>IF(Input!C27=""," ", Input!C27)</f>
        <v xml:space="preserve"> </v>
      </c>
      <c r="C20" s="119" t="str">
        <f>IF(PTKEY=2,'PT Answer Tables'!C21,IF(PTKEY=3,'PT Answer Tables'!D21,IF(PTKEY=4,'PT Answer Tables'!E21,IF(PTKEY=5,'PT Answer Tables'!F21,IF(PTKEY=6,'PT Answer Tables'!G21,IF(PTKEY=7,'PT Answer Tables'!H21,0))))))</f>
        <v>d</v>
      </c>
      <c r="D20" s="119" t="str">
        <f>IF(PTKEY=2,'PT 1 Skill Tables'!C22,IF(PTKEY=3,'PT 2 Skill Tables'!C22,IF(PTKEY=4,'PT 3 Skill Tables'!C22,IF(PTKEY=5,'PT 4 Skill Tables'!C22,IF(PTKEY=6,'PT 5 Skill Tables'!C22,IF(PTKEY=7,'PT 6 Skill Tables'!C22,0))))))</f>
        <v>Information and Ideas</v>
      </c>
      <c r="E20" s="119" t="str">
        <f>IF(PTKEY=2,'PT 1 Skill Tables'!D22,IF(PTKEY=3,'PT 2 Skill Tables'!D22,IF(PTKEY=4,'PT 3 Skill Tables'!D22,IF(PTKEY=5,'PT 4 Skill Tables'!D22,IF(PTKEY=6,'PT 5 Skill Tables'!D22,IF(PTKEY=7,'PT 5 Skill Tables'!D22,0))))))</f>
        <v>Interpreting Words and Phrases in Context</v>
      </c>
      <c r="F20" s="120" t="str">
        <f>IF(PTKEY=2,IF('PT 1 Skill Tables'!H22=1,"History",IF('PT 1 Skill Tables'!I22=1,"Science","")),IF(PTKEY=3,IF('PT 2 Skill Tables'!H22=1,"History",IF('PT 2 Skill Tables'!I22=1,"Science","")),IF(PTKEY=4,IF('PT 3 Skill Tables'!H22=1,"History",IF('PT 3 Skill Tables'!I22=1,"Science","")),IF(PTKEY=5,IF('PT 4 Skill Tables'!H22=1,"History",IF('PT 4 Skill Tables'!I22=1,"Science","")),IF(PTKEY=6,IF('PT 5 Skill Tables'!H22=1,"History",IF('PT 5 Skill Tables'!I22=1,"Science","")),IF(PTKEY=7,IF('PT 6 Skill Tables'!H22=1,"History",IF('PT 6 Skill Tables'!I22=1,"Science",""))))))))</f>
        <v>History</v>
      </c>
      <c r="G20" s="120" t="str">
        <f>IF(PTKEY=2,IF('PT 1 Skill Tables'!F22=1,"Words in Context",IF('PT 1 Skill Tables'!G22=1,"Command of Evidence","")),IF(PTKEY=3,IF('PT 2 Skill Tables'!F22=1,"Words in Context",IF('PT 2 Skill Tables'!G22=1,"Command of Evidence","")),IF(PTKEY=4,IF('PT 3 Skill Tables'!F22=1,"Words in Context",IF('PT 3 Skill Tables'!G22=1,"Command of Evidence","")),IF(PTKEY=5,IF('PT 4 Skill Tables'!F22=1,"Words in Context",IF('PT 4 Skill Tables'!G22=1,"Command of Evidence","")),IF(PTKEY=6,IF('PT 5 Skill Tables'!F22=1,"Words in Context",IF('PT 5 Skill Tables'!G22=1,"Command of Evidence","")),IF(PTKEY=7,IF('PT 6 Skill Tables'!F22=1,"Words in Context",IF('PT 6 Skill Tables'!G22=1,"Command of Evidence",""))))))))</f>
        <v>Words in Context</v>
      </c>
    </row>
    <row r="21" spans="1:7" ht="20.25" customHeight="1">
      <c r="A21" s="119">
        <v>19</v>
      </c>
      <c r="B21" s="120" t="str">
        <f>IF(Input!C28=""," ", Input!C28)</f>
        <v xml:space="preserve"> </v>
      </c>
      <c r="C21" s="119" t="str">
        <f>IF(PTKEY=2,'PT Answer Tables'!C22,IF(PTKEY=3,'PT Answer Tables'!D22,IF(PTKEY=4,'PT Answer Tables'!E22,IF(PTKEY=5,'PT Answer Tables'!F22,IF(PTKEY=6,'PT Answer Tables'!G22,IF(PTKEY=7,'PT Answer Tables'!H22,0))))))</f>
        <v>a</v>
      </c>
      <c r="D21" s="119" t="str">
        <f>IF(PTKEY=2,'PT 1 Skill Tables'!C23,IF(PTKEY=3,'PT 2 Skill Tables'!C23,IF(PTKEY=4,'PT 3 Skill Tables'!C23,IF(PTKEY=5,'PT 4 Skill Tables'!C23,IF(PTKEY=6,'PT 5 Skill Tables'!C23,IF(PTKEY=7,'PT 6 Skill Tables'!C23,0))))))</f>
        <v>Rhetoric</v>
      </c>
      <c r="E21" s="119" t="str">
        <f>IF(PTKEY=2,'PT 1 Skill Tables'!D23,IF(PTKEY=3,'PT 2 Skill Tables'!D23,IF(PTKEY=4,'PT 3 Skill Tables'!D23,IF(PTKEY=5,'PT 4 Skill Tables'!D23,IF(PTKEY=6,'PT 5 Skill Tables'!D23,IF(PTKEY=7,'PT 5 Skill Tables'!D23,0))))))</f>
        <v>Analyzing Purpose</v>
      </c>
      <c r="F21" s="120" t="str">
        <f>IF(PTKEY=2,IF('PT 1 Skill Tables'!H23=1,"History",IF('PT 1 Skill Tables'!I23=1,"Science","")),IF(PTKEY=3,IF('PT 2 Skill Tables'!H23=1,"History",IF('PT 2 Skill Tables'!I23=1,"Science","")),IF(PTKEY=4,IF('PT 3 Skill Tables'!H23=1,"History",IF('PT 3 Skill Tables'!I23=1,"Science","")),IF(PTKEY=5,IF('PT 4 Skill Tables'!H23=1,"History",IF('PT 4 Skill Tables'!I23=1,"Science","")),IF(PTKEY=6,IF('PT 5 Skill Tables'!H23=1,"History",IF('PT 5 Skill Tables'!I23=1,"Science","")),IF(PTKEY=7,IF('PT 6 Skill Tables'!H23=1,"History",IF('PT 6 Skill Tables'!I23=1,"Science",""))))))))</f>
        <v>History</v>
      </c>
      <c r="G21" s="120" t="str">
        <f>IF(PTKEY=2,IF('PT 1 Skill Tables'!F23=1,"Words in Context",IF('PT 1 Skill Tables'!G23=1,"Command of Evidence","")),IF(PTKEY=3,IF('PT 2 Skill Tables'!F23=1,"Words in Context",IF('PT 2 Skill Tables'!G23=1,"Command of Evidence","")),IF(PTKEY=4,IF('PT 3 Skill Tables'!F23=1,"Words in Context",IF('PT 3 Skill Tables'!G23=1,"Command of Evidence","")),IF(PTKEY=5,IF('PT 4 Skill Tables'!F23=1,"Words in Context",IF('PT 4 Skill Tables'!G23=1,"Command of Evidence","")),IF(PTKEY=6,IF('PT 5 Skill Tables'!F23=1,"Words in Context",IF('PT 5 Skill Tables'!G23=1,"Command of Evidence","")),IF(PTKEY=7,IF('PT 6 Skill Tables'!F23=1,"Words in Context",IF('PT 6 Skill Tables'!G23=1,"Command of Evidence",""))))))))</f>
        <v>Command of Evidence</v>
      </c>
    </row>
    <row r="22" spans="1:7" ht="20.25" customHeight="1">
      <c r="A22" s="119">
        <v>20</v>
      </c>
      <c r="B22" s="120" t="str">
        <f>IF(Input!C29=""," ", Input!C29)</f>
        <v xml:space="preserve"> </v>
      </c>
      <c r="C22" s="119" t="str">
        <f>IF(PTKEY=2,'PT Answer Tables'!C23,IF(PTKEY=3,'PT Answer Tables'!D23,IF(PTKEY=4,'PT Answer Tables'!E23,IF(PTKEY=5,'PT Answer Tables'!F23,IF(PTKEY=6,'PT Answer Tables'!G23,IF(PTKEY=7,'PT Answer Tables'!H23,0))))))</f>
        <v>b</v>
      </c>
      <c r="D22" s="119" t="str">
        <f>IF(PTKEY=2,'PT 1 Skill Tables'!C24,IF(PTKEY=3,'PT 2 Skill Tables'!C24,IF(PTKEY=4,'PT 3 Skill Tables'!C24,IF(PTKEY=5,'PT 4 Skill Tables'!C24,IF(PTKEY=6,'PT 5 Skill Tables'!C24,IF(PTKEY=7,'PT 6 Skill Tables'!C24,0))))))</f>
        <v>Synthesis</v>
      </c>
      <c r="E22" s="119" t="str">
        <f>IF(PTKEY=2,'PT 1 Skill Tables'!D24,IF(PTKEY=3,'PT 2 Skill Tables'!D24,IF(PTKEY=4,'PT 3 Skill Tables'!D24,IF(PTKEY=5,'PT 4 Skill Tables'!D24,IF(PTKEY=6,'PT 5 Skill Tables'!D24,IF(PTKEY=7,'PT 5 Skill Tables'!D24,0))))))</f>
        <v>Analyzing Quantitative Information</v>
      </c>
      <c r="F22" s="120" t="str">
        <f>IF(PTKEY=2,IF('PT 1 Skill Tables'!H24=1,"History",IF('PT 1 Skill Tables'!I24=1,"Science","")),IF(PTKEY=3,IF('PT 2 Skill Tables'!H24=1,"History",IF('PT 2 Skill Tables'!I24=1,"Science","")),IF(PTKEY=4,IF('PT 3 Skill Tables'!H24=1,"History",IF('PT 3 Skill Tables'!I24=1,"Science","")),IF(PTKEY=5,IF('PT 4 Skill Tables'!H24=1,"History",IF('PT 4 Skill Tables'!I24=1,"Science","")),IF(PTKEY=6,IF('PT 5 Skill Tables'!H24=1,"History",IF('PT 5 Skill Tables'!I24=1,"Science","")),IF(PTKEY=7,IF('PT 6 Skill Tables'!H24=1,"History",IF('PT 6 Skill Tables'!I24=1,"Science",""))))))))</f>
        <v>History</v>
      </c>
      <c r="G22" s="120" t="str">
        <f>IF(PTKEY=2,IF('PT 1 Skill Tables'!F24=1,"Words in Context",IF('PT 1 Skill Tables'!G24=1,"Command of Evidence","")),IF(PTKEY=3,IF('PT 2 Skill Tables'!F24=1,"Words in Context",IF('PT 2 Skill Tables'!G24=1,"Command of Evidence","")),IF(PTKEY=4,IF('PT 3 Skill Tables'!F24=1,"Words in Context",IF('PT 3 Skill Tables'!G24=1,"Command of Evidence","")),IF(PTKEY=5,IF('PT 4 Skill Tables'!F24=1,"Words in Context",IF('PT 4 Skill Tables'!G24=1,"Command of Evidence","")),IF(PTKEY=6,IF('PT 5 Skill Tables'!F24=1,"Words in Context",IF('PT 5 Skill Tables'!G24=1,"Command of Evidence","")),IF(PTKEY=7,IF('PT 6 Skill Tables'!F24=1,"Words in Context",IF('PT 6 Skill Tables'!G24=1,"Command of Evidence",""))))))))</f>
        <v/>
      </c>
    </row>
    <row r="23" spans="1:7" ht="20.25" customHeight="1">
      <c r="A23" s="119">
        <v>21</v>
      </c>
      <c r="B23" s="120" t="str">
        <f>IF(Input!C30=""," ", Input!C30)</f>
        <v xml:space="preserve"> </v>
      </c>
      <c r="C23" s="119" t="str">
        <f>IF(PTKEY=2,'PT Answer Tables'!C24,IF(PTKEY=3,'PT Answer Tables'!D24,IF(PTKEY=4,'PT Answer Tables'!E24,IF(PTKEY=5,'PT Answer Tables'!F24,IF(PTKEY=6,'PT Answer Tables'!G24,IF(PTKEY=7,'PT Answer Tables'!H24,0))))))</f>
        <v>a</v>
      </c>
      <c r="D23" s="119" t="str">
        <f>IF(PTKEY=2,'PT 1 Skill Tables'!C25,IF(PTKEY=3,'PT 2 Skill Tables'!C25,IF(PTKEY=4,'PT 3 Skill Tables'!C25,IF(PTKEY=5,'PT 4 Skill Tables'!C25,IF(PTKEY=6,'PT 5 Skill Tables'!C25,IF(PTKEY=7,'PT 6 Skill Tables'!C25,0))))))</f>
        <v>Synthesis</v>
      </c>
      <c r="E23" s="119" t="str">
        <f>IF(PTKEY=2,'PT 1 Skill Tables'!D25,IF(PTKEY=3,'PT 2 Skill Tables'!D25,IF(PTKEY=4,'PT 3 Skill Tables'!D25,IF(PTKEY=5,'PT 4 Skill Tables'!D25,IF(PTKEY=6,'PT 5 Skill Tables'!D25,IF(PTKEY=7,'PT 5 Skill Tables'!D25,0))))))</f>
        <v>Analyzing Quantitative Information</v>
      </c>
      <c r="F23" s="120" t="str">
        <f>IF(PTKEY=2,IF('PT 1 Skill Tables'!H25=1,"History",IF('PT 1 Skill Tables'!I25=1,"Science","")),IF(PTKEY=3,IF('PT 2 Skill Tables'!H25=1,"History",IF('PT 2 Skill Tables'!I25=1,"Science","")),IF(PTKEY=4,IF('PT 3 Skill Tables'!H25=1,"History",IF('PT 3 Skill Tables'!I25=1,"Science","")),IF(PTKEY=5,IF('PT 4 Skill Tables'!H25=1,"History",IF('PT 4 Skill Tables'!I25=1,"Science","")),IF(PTKEY=6,IF('PT 5 Skill Tables'!H25=1,"History",IF('PT 5 Skill Tables'!I25=1,"Science","")),IF(PTKEY=7,IF('PT 6 Skill Tables'!H25=1,"History",IF('PT 6 Skill Tables'!I25=1,"Science",""))))))))</f>
        <v>History</v>
      </c>
      <c r="G23" s="120" t="str">
        <f>IF(PTKEY=2,IF('PT 1 Skill Tables'!F25=1,"Words in Context",IF('PT 1 Skill Tables'!G25=1,"Command of Evidence","")),IF(PTKEY=3,IF('PT 2 Skill Tables'!F25=1,"Words in Context",IF('PT 2 Skill Tables'!G25=1,"Command of Evidence","")),IF(PTKEY=4,IF('PT 3 Skill Tables'!F25=1,"Words in Context",IF('PT 3 Skill Tables'!G25=1,"Command of Evidence","")),IF(PTKEY=5,IF('PT 4 Skill Tables'!F25=1,"Words in Context",IF('PT 4 Skill Tables'!G25=1,"Command of Evidence","")),IF(PTKEY=6,IF('PT 5 Skill Tables'!F25=1,"Words in Context",IF('PT 5 Skill Tables'!G25=1,"Command of Evidence","")),IF(PTKEY=7,IF('PT 6 Skill Tables'!F25=1,"Words in Context",IF('PT 6 Skill Tables'!G25=1,"Command of Evidence",""))))))))</f>
        <v/>
      </c>
    </row>
    <row r="24" spans="1:7" ht="20.25" customHeight="1">
      <c r="A24" s="119">
        <v>22</v>
      </c>
      <c r="B24" s="120" t="str">
        <f>IF(Input!C31=""," ", Input!C31)</f>
        <v xml:space="preserve"> </v>
      </c>
      <c r="C24" s="119" t="str">
        <f>IF(PTKEY=2,'PT Answer Tables'!C25,IF(PTKEY=3,'PT Answer Tables'!D25,IF(PTKEY=4,'PT Answer Tables'!E25,IF(PTKEY=5,'PT Answer Tables'!F25,IF(PTKEY=6,'PT Answer Tables'!G25,IF(PTKEY=7,'PT Answer Tables'!H25,0))))))</f>
        <v>b</v>
      </c>
      <c r="D24" s="119" t="str">
        <f>IF(PTKEY=2,'PT 1 Skill Tables'!C26,IF(PTKEY=3,'PT 2 Skill Tables'!C26,IF(PTKEY=4,'PT 3 Skill Tables'!C26,IF(PTKEY=5,'PT 4 Skill Tables'!C26,IF(PTKEY=6,'PT 5 Skill Tables'!C26,IF(PTKEY=7,'PT 6 Skill Tables'!C26,0))))))</f>
        <v>Rhetoric</v>
      </c>
      <c r="E24" s="119" t="str">
        <f>IF(PTKEY=2,'PT 1 Skill Tables'!D26,IF(PTKEY=3,'PT 2 Skill Tables'!D26,IF(PTKEY=4,'PT 3 Skill Tables'!D26,IF(PTKEY=5,'PT 4 Skill Tables'!D26,IF(PTKEY=6,'PT 5 Skill Tables'!D26,IF(PTKEY=7,'PT 5 Skill Tables'!D26,0))))))</f>
        <v>Analyzing Word Choice</v>
      </c>
      <c r="F24" s="120" t="str">
        <f>IF(PTKEY=2,IF('PT 1 Skill Tables'!H26=1,"History",IF('PT 1 Skill Tables'!I26=1,"Science","")),IF(PTKEY=3,IF('PT 2 Skill Tables'!H26=1,"History",IF('PT 2 Skill Tables'!I26=1,"Science","")),IF(PTKEY=4,IF('PT 3 Skill Tables'!H26=1,"History",IF('PT 3 Skill Tables'!I26=1,"Science","")),IF(PTKEY=5,IF('PT 4 Skill Tables'!H26=1,"History",IF('PT 4 Skill Tables'!I26=1,"Science","")),IF(PTKEY=6,IF('PT 5 Skill Tables'!H26=1,"History",IF('PT 5 Skill Tables'!I26=1,"Science","")),IF(PTKEY=7,IF('PT 6 Skill Tables'!H26=1,"History",IF('PT 6 Skill Tables'!I26=1,"Science",""))))))))</f>
        <v>Science</v>
      </c>
      <c r="G24" s="120" t="str">
        <f>IF(PTKEY=2,IF('PT 1 Skill Tables'!F26=1,"Words in Context",IF('PT 1 Skill Tables'!G26=1,"Command of Evidence","")),IF(PTKEY=3,IF('PT 2 Skill Tables'!F26=1,"Words in Context",IF('PT 2 Skill Tables'!G26=1,"Command of Evidence","")),IF(PTKEY=4,IF('PT 3 Skill Tables'!F26=1,"Words in Context",IF('PT 3 Skill Tables'!G26=1,"Command of Evidence","")),IF(PTKEY=5,IF('PT 4 Skill Tables'!F26=1,"Words in Context",IF('PT 4 Skill Tables'!G26=1,"Command of Evidence","")),IF(PTKEY=6,IF('PT 5 Skill Tables'!F26=1,"Words in Context",IF('PT 5 Skill Tables'!G26=1,"Command of Evidence","")),IF(PTKEY=7,IF('PT 6 Skill Tables'!F26=1,"Words in Context",IF('PT 6 Skill Tables'!G26=1,"Command of Evidence",""))))))))</f>
        <v>Words in Context</v>
      </c>
    </row>
    <row r="25" spans="1:7" ht="20.25" customHeight="1">
      <c r="A25" s="119">
        <v>23</v>
      </c>
      <c r="B25" s="120" t="str">
        <f>IF(Input!C32=""," ", Input!C32)</f>
        <v xml:space="preserve"> </v>
      </c>
      <c r="C25" s="119" t="str">
        <f>IF(PTKEY=2,'PT Answer Tables'!C26,IF(PTKEY=3,'PT Answer Tables'!D26,IF(PTKEY=4,'PT Answer Tables'!E26,IF(PTKEY=5,'PT Answer Tables'!F26,IF(PTKEY=6,'PT Answer Tables'!G26,IF(PTKEY=7,'PT Answer Tables'!H26,0))))))</f>
        <v>d</v>
      </c>
      <c r="D25" s="119" t="str">
        <f>IF(PTKEY=2,'PT 1 Skill Tables'!C27,IF(PTKEY=3,'PT 2 Skill Tables'!C27,IF(PTKEY=4,'PT 3 Skill Tables'!C27,IF(PTKEY=5,'PT 4 Skill Tables'!C27,IF(PTKEY=6,'PT 5 Skill Tables'!C27,IF(PTKEY=7,'PT 6 Skill Tables'!C27,0))))))</f>
        <v>Rhetoric</v>
      </c>
      <c r="E25" s="119" t="str">
        <f>IF(PTKEY=2,'PT 1 Skill Tables'!D27,IF(PTKEY=3,'PT 2 Skill Tables'!D27,IF(PTKEY=4,'PT 3 Skill Tables'!D27,IF(PTKEY=5,'PT 4 Skill Tables'!D27,IF(PTKEY=6,'PT 5 Skill Tables'!D27,IF(PTKEY=7,'PT 5 Skill Tables'!D27,0))))))</f>
        <v>Analyzing Arguments</v>
      </c>
      <c r="F25" s="120" t="str">
        <f>IF(PTKEY=2,IF('PT 1 Skill Tables'!H27=1,"History",IF('PT 1 Skill Tables'!I27=1,"Science","")),IF(PTKEY=3,IF('PT 2 Skill Tables'!H27=1,"History",IF('PT 2 Skill Tables'!I27=1,"Science","")),IF(PTKEY=4,IF('PT 3 Skill Tables'!H27=1,"History",IF('PT 3 Skill Tables'!I27=1,"Science","")),IF(PTKEY=5,IF('PT 4 Skill Tables'!H27=1,"History",IF('PT 4 Skill Tables'!I27=1,"Science","")),IF(PTKEY=6,IF('PT 5 Skill Tables'!H27=1,"History",IF('PT 5 Skill Tables'!I27=1,"Science","")),IF(PTKEY=7,IF('PT 6 Skill Tables'!H27=1,"History",IF('PT 6 Skill Tables'!I27=1,"Science",""))))))))</f>
        <v>Science</v>
      </c>
      <c r="G25" s="120" t="str">
        <f>IF(PTKEY=2,IF('PT 1 Skill Tables'!F27=1,"Words in Context",IF('PT 1 Skill Tables'!G27=1,"Command of Evidence","")),IF(PTKEY=3,IF('PT 2 Skill Tables'!F27=1,"Words in Context",IF('PT 2 Skill Tables'!G27=1,"Command of Evidence","")),IF(PTKEY=4,IF('PT 3 Skill Tables'!F27=1,"Words in Context",IF('PT 3 Skill Tables'!G27=1,"Command of Evidence","")),IF(PTKEY=5,IF('PT 4 Skill Tables'!F27=1,"Words in Context",IF('PT 4 Skill Tables'!G27=1,"Command of Evidence","")),IF(PTKEY=6,IF('PT 5 Skill Tables'!F27=1,"Words in Context",IF('PT 5 Skill Tables'!G27=1,"Command of Evidence","")),IF(PTKEY=7,IF('PT 6 Skill Tables'!F27=1,"Words in Context",IF('PT 6 Skill Tables'!G27=1,"Command of Evidence",""))))))))</f>
        <v>Command of Evidence</v>
      </c>
    </row>
    <row r="26" spans="1:7" ht="20.25" customHeight="1">
      <c r="A26" s="119">
        <v>24</v>
      </c>
      <c r="B26" s="120" t="str">
        <f>IF(Input!C33=""," ", Input!C33)</f>
        <v xml:space="preserve"> </v>
      </c>
      <c r="C26" s="119" t="str">
        <f>IF(PTKEY=2,'PT Answer Tables'!C27,IF(PTKEY=3,'PT Answer Tables'!D27,IF(PTKEY=4,'PT Answer Tables'!E27,IF(PTKEY=5,'PT Answer Tables'!F27,IF(PTKEY=6,'PT Answer Tables'!G27,IF(PTKEY=7,'PT Answer Tables'!H27,0))))))</f>
        <v>d</v>
      </c>
      <c r="D26" s="119" t="str">
        <f>IF(PTKEY=2,'PT 1 Skill Tables'!C28,IF(PTKEY=3,'PT 2 Skill Tables'!C28,IF(PTKEY=4,'PT 3 Skill Tables'!C28,IF(PTKEY=5,'PT 4 Skill Tables'!C28,IF(PTKEY=6,'PT 5 Skill Tables'!C28,IF(PTKEY=7,'PT 6 Skill Tables'!C28,0))))))</f>
        <v>Rhetoric</v>
      </c>
      <c r="E26" s="119" t="str">
        <f>IF(PTKEY=2,'PT 1 Skill Tables'!D28,IF(PTKEY=3,'PT 2 Skill Tables'!D28,IF(PTKEY=4,'PT 3 Skill Tables'!D28,IF(PTKEY=5,'PT 4 Skill Tables'!D28,IF(PTKEY=6,'PT 5 Skill Tables'!D28,IF(PTKEY=7,'PT 5 Skill Tables'!D28,0))))))</f>
        <v>Analyzing Arguments</v>
      </c>
      <c r="F26" s="120" t="str">
        <f>IF(PTKEY=2,IF('PT 1 Skill Tables'!H28=1,"History",IF('PT 1 Skill Tables'!I28=1,"Science","")),IF(PTKEY=3,IF('PT 2 Skill Tables'!H28=1,"History",IF('PT 2 Skill Tables'!I28=1,"Science","")),IF(PTKEY=4,IF('PT 3 Skill Tables'!H28=1,"History",IF('PT 3 Skill Tables'!I28=1,"Science","")),IF(PTKEY=5,IF('PT 4 Skill Tables'!H28=1,"History",IF('PT 4 Skill Tables'!I28=1,"Science","")),IF(PTKEY=6,IF('PT 5 Skill Tables'!H28=1,"History",IF('PT 5 Skill Tables'!I28=1,"Science","")),IF(PTKEY=7,IF('PT 6 Skill Tables'!H28=1,"History",IF('PT 6 Skill Tables'!I28=1,"Science",""))))))))</f>
        <v>Science</v>
      </c>
      <c r="G26" s="120" t="str">
        <f>IF(PTKEY=2,IF('PT 1 Skill Tables'!F28=1,"Words in Context",IF('PT 1 Skill Tables'!G28=1,"Command of Evidence","")),IF(PTKEY=3,IF('PT 2 Skill Tables'!F28=1,"Words in Context",IF('PT 2 Skill Tables'!G28=1,"Command of Evidence","")),IF(PTKEY=4,IF('PT 3 Skill Tables'!F28=1,"Words in Context",IF('PT 3 Skill Tables'!G28=1,"Command of Evidence","")),IF(PTKEY=5,IF('PT 4 Skill Tables'!F28=1,"Words in Context",IF('PT 4 Skill Tables'!G28=1,"Command of Evidence","")),IF(PTKEY=6,IF('PT 5 Skill Tables'!F28=1,"Words in Context",IF('PT 5 Skill Tables'!G28=1,"Command of Evidence","")),IF(PTKEY=7,IF('PT 6 Skill Tables'!F28=1,"Words in Context",IF('PT 6 Skill Tables'!G28=1,"Command of Evidence",""))))))))</f>
        <v/>
      </c>
    </row>
    <row r="27" spans="1:7" ht="20.25" customHeight="1">
      <c r="A27" s="119">
        <v>25</v>
      </c>
      <c r="B27" s="120" t="str">
        <f>IF(Input!C34=""," ", Input!C34)</f>
        <v xml:space="preserve"> </v>
      </c>
      <c r="C27" s="119" t="str">
        <f>IF(PTKEY=2,'PT Answer Tables'!C28,IF(PTKEY=3,'PT Answer Tables'!D28,IF(PTKEY=4,'PT Answer Tables'!E28,IF(PTKEY=5,'PT Answer Tables'!F28,IF(PTKEY=6,'PT Answer Tables'!G28,IF(PTKEY=7,'PT Answer Tables'!H28,0))))))</f>
        <v>c</v>
      </c>
      <c r="D27" s="119" t="str">
        <f>IF(PTKEY=2,'PT 1 Skill Tables'!C29,IF(PTKEY=3,'PT 2 Skill Tables'!C29,IF(PTKEY=4,'PT 3 Skill Tables'!C29,IF(PTKEY=5,'PT 4 Skill Tables'!C29,IF(PTKEY=6,'PT 5 Skill Tables'!C29,IF(PTKEY=7,'PT 6 Skill Tables'!C29,0))))))</f>
        <v>Rhetoric</v>
      </c>
      <c r="E27" s="119" t="str">
        <f>IF(PTKEY=2,'PT 1 Skill Tables'!D29,IF(PTKEY=3,'PT 2 Skill Tables'!D29,IF(PTKEY=4,'PT 3 Skill Tables'!D29,IF(PTKEY=5,'PT 4 Skill Tables'!D29,IF(PTKEY=6,'PT 5 Skill Tables'!D29,IF(PTKEY=7,'PT 5 Skill Tables'!D29,0))))))</f>
        <v>Analyzing Purpose</v>
      </c>
      <c r="F27" s="120" t="str">
        <f>IF(PTKEY=2,IF('PT 1 Skill Tables'!H29=1,"History",IF('PT 1 Skill Tables'!I29=1,"Science","")),IF(PTKEY=3,IF('PT 2 Skill Tables'!H29=1,"History",IF('PT 2 Skill Tables'!I29=1,"Science","")),IF(PTKEY=4,IF('PT 3 Skill Tables'!H29=1,"History",IF('PT 3 Skill Tables'!I29=1,"Science","")),IF(PTKEY=5,IF('PT 4 Skill Tables'!H29=1,"History",IF('PT 4 Skill Tables'!I29=1,"Science","")),IF(PTKEY=6,IF('PT 5 Skill Tables'!H29=1,"History",IF('PT 5 Skill Tables'!I29=1,"Science","")),IF(PTKEY=7,IF('PT 6 Skill Tables'!H29=1,"History",IF('PT 6 Skill Tables'!I29=1,"Science",""))))))))</f>
        <v>Science</v>
      </c>
      <c r="G27" s="120" t="str">
        <f>IF(PTKEY=2,IF('PT 1 Skill Tables'!F29=1,"Words in Context",IF('PT 1 Skill Tables'!G29=1,"Command of Evidence","")),IF(PTKEY=3,IF('PT 2 Skill Tables'!F29=1,"Words in Context",IF('PT 2 Skill Tables'!G29=1,"Command of Evidence","")),IF(PTKEY=4,IF('PT 3 Skill Tables'!F29=1,"Words in Context",IF('PT 3 Skill Tables'!G29=1,"Command of Evidence","")),IF(PTKEY=5,IF('PT 4 Skill Tables'!F29=1,"Words in Context",IF('PT 4 Skill Tables'!G29=1,"Command of Evidence","")),IF(PTKEY=6,IF('PT 5 Skill Tables'!F29=1,"Words in Context",IF('PT 5 Skill Tables'!G29=1,"Command of Evidence","")),IF(PTKEY=7,IF('PT 6 Skill Tables'!F29=1,"Words in Context",IF('PT 6 Skill Tables'!G29=1,"Command of Evidence",""))))))))</f>
        <v/>
      </c>
    </row>
    <row r="28" spans="1:7" ht="20.25" customHeight="1">
      <c r="A28" s="119">
        <v>26</v>
      </c>
      <c r="B28" s="120" t="str">
        <f>IF(Input!C35=""," ", Input!C35)</f>
        <v xml:space="preserve"> </v>
      </c>
      <c r="C28" s="119" t="str">
        <f>IF(PTKEY=2,'PT Answer Tables'!C29,IF(PTKEY=3,'PT Answer Tables'!D29,IF(PTKEY=4,'PT Answer Tables'!E29,IF(PTKEY=5,'PT Answer Tables'!F29,IF(PTKEY=6,'PT Answer Tables'!G29,IF(PTKEY=7,'PT Answer Tables'!H29,0))))))</f>
        <v>b</v>
      </c>
      <c r="D28" s="119" t="str">
        <f>IF(PTKEY=2,'PT 1 Skill Tables'!C30,IF(PTKEY=3,'PT 2 Skill Tables'!C30,IF(PTKEY=4,'PT 3 Skill Tables'!C30,IF(PTKEY=5,'PT 4 Skill Tables'!C30,IF(PTKEY=6,'PT 5 Skill Tables'!C30,IF(PTKEY=7,'PT 6 Skill Tables'!C30,0))))))</f>
        <v>Information and Ideas</v>
      </c>
      <c r="E28" s="119" t="str">
        <f>IF(PTKEY=2,'PT 1 Skill Tables'!D30,IF(PTKEY=3,'PT 2 Skill Tables'!D30,IF(PTKEY=4,'PT 3 Skill Tables'!D30,IF(PTKEY=5,'PT 4 Skill Tables'!D30,IF(PTKEY=6,'PT 5 Skill Tables'!D30,IF(PTKEY=7,'PT 5 Skill Tables'!D30,0))))))</f>
        <v>Reading Closely</v>
      </c>
      <c r="F28" s="120" t="str">
        <f>IF(PTKEY=2,IF('PT 1 Skill Tables'!H30=1,"History",IF('PT 1 Skill Tables'!I30=1,"Science","")),IF(PTKEY=3,IF('PT 2 Skill Tables'!H30=1,"History",IF('PT 2 Skill Tables'!I30=1,"Science","")),IF(PTKEY=4,IF('PT 3 Skill Tables'!H30=1,"History",IF('PT 3 Skill Tables'!I30=1,"Science","")),IF(PTKEY=5,IF('PT 4 Skill Tables'!H30=1,"History",IF('PT 4 Skill Tables'!I30=1,"Science","")),IF(PTKEY=6,IF('PT 5 Skill Tables'!H30=1,"History",IF('PT 5 Skill Tables'!I30=1,"Science","")),IF(PTKEY=7,IF('PT 6 Skill Tables'!H30=1,"History",IF('PT 6 Skill Tables'!I30=1,"Science",""))))))))</f>
        <v>Science</v>
      </c>
      <c r="G28" s="120" t="str">
        <f>IF(PTKEY=2,IF('PT 1 Skill Tables'!F30=1,"Words in Context",IF('PT 1 Skill Tables'!G30=1,"Command of Evidence","")),IF(PTKEY=3,IF('PT 2 Skill Tables'!F30=1,"Words in Context",IF('PT 2 Skill Tables'!G30=1,"Command of Evidence","")),IF(PTKEY=4,IF('PT 3 Skill Tables'!F30=1,"Words in Context",IF('PT 3 Skill Tables'!G30=1,"Command of Evidence","")),IF(PTKEY=5,IF('PT 4 Skill Tables'!F30=1,"Words in Context",IF('PT 4 Skill Tables'!G30=1,"Command of Evidence","")),IF(PTKEY=6,IF('PT 5 Skill Tables'!F30=1,"Words in Context",IF('PT 5 Skill Tables'!G30=1,"Command of Evidence","")),IF(PTKEY=7,IF('PT 6 Skill Tables'!F30=1,"Words in Context",IF('PT 6 Skill Tables'!G30=1,"Command of Evidence",""))))))))</f>
        <v/>
      </c>
    </row>
    <row r="29" spans="1:7" ht="20.25" customHeight="1">
      <c r="A29" s="119">
        <v>27</v>
      </c>
      <c r="B29" s="120" t="str">
        <f>IF(Input!C36=""," ", Input!C36)</f>
        <v xml:space="preserve"> </v>
      </c>
      <c r="C29" s="119" t="str">
        <f>IF(PTKEY=2,'PT Answer Tables'!C30,IF(PTKEY=3,'PT Answer Tables'!D30,IF(PTKEY=4,'PT Answer Tables'!E30,IF(PTKEY=5,'PT Answer Tables'!F30,IF(PTKEY=6,'PT Answer Tables'!G30,IF(PTKEY=7,'PT Answer Tables'!H30,0))))))</f>
        <v>d</v>
      </c>
      <c r="D29" s="119" t="str">
        <f>IF(PTKEY=2,'PT 1 Skill Tables'!C31,IF(PTKEY=3,'PT 2 Skill Tables'!C31,IF(PTKEY=4,'PT 3 Skill Tables'!C31,IF(PTKEY=5,'PT 4 Skill Tables'!C31,IF(PTKEY=6,'PT 5 Skill Tables'!C31,IF(PTKEY=7,'PT 6 Skill Tables'!C31,0))))))</f>
        <v>Rhetoric</v>
      </c>
      <c r="E29" s="119" t="str">
        <f>IF(PTKEY=2,'PT 1 Skill Tables'!D31,IF(PTKEY=3,'PT 2 Skill Tables'!D31,IF(PTKEY=4,'PT 3 Skill Tables'!D31,IF(PTKEY=5,'PT 4 Skill Tables'!D31,IF(PTKEY=6,'PT 5 Skill Tables'!D31,IF(PTKEY=7,'PT 5 Skill Tables'!D31,0))))))</f>
        <v>Analyzing Word Choice</v>
      </c>
      <c r="F29" s="120" t="str">
        <f>IF(PTKEY=2,IF('PT 1 Skill Tables'!H31=1,"History",IF('PT 1 Skill Tables'!I31=1,"Science","")),IF(PTKEY=3,IF('PT 2 Skill Tables'!H31=1,"History",IF('PT 2 Skill Tables'!I31=1,"Science","")),IF(PTKEY=4,IF('PT 3 Skill Tables'!H31=1,"History",IF('PT 3 Skill Tables'!I31=1,"Science","")),IF(PTKEY=5,IF('PT 4 Skill Tables'!H31=1,"History",IF('PT 4 Skill Tables'!I31=1,"Science","")),IF(PTKEY=6,IF('PT 5 Skill Tables'!H31=1,"History",IF('PT 5 Skill Tables'!I31=1,"Science","")),IF(PTKEY=7,IF('PT 6 Skill Tables'!H31=1,"History",IF('PT 6 Skill Tables'!I31=1,"Science",""))))))))</f>
        <v>Science</v>
      </c>
      <c r="G29" s="120" t="str">
        <f>IF(PTKEY=2,IF('PT 1 Skill Tables'!F31=1,"Words in Context",IF('PT 1 Skill Tables'!G31=1,"Command of Evidence","")),IF(PTKEY=3,IF('PT 2 Skill Tables'!F31=1,"Words in Context",IF('PT 2 Skill Tables'!G31=1,"Command of Evidence","")),IF(PTKEY=4,IF('PT 3 Skill Tables'!F31=1,"Words in Context",IF('PT 3 Skill Tables'!G31=1,"Command of Evidence","")),IF(PTKEY=5,IF('PT 4 Skill Tables'!F31=1,"Words in Context",IF('PT 4 Skill Tables'!G31=1,"Command of Evidence","")),IF(PTKEY=6,IF('PT 5 Skill Tables'!F31=1,"Words in Context",IF('PT 5 Skill Tables'!G31=1,"Command of Evidence","")),IF(PTKEY=7,IF('PT 6 Skill Tables'!F31=1,"Words in Context",IF('PT 6 Skill Tables'!G31=1,"Command of Evidence",""))))))))</f>
        <v>Words in Context</v>
      </c>
    </row>
    <row r="30" spans="1:7" ht="20.25" customHeight="1">
      <c r="A30" s="119">
        <v>28</v>
      </c>
      <c r="B30" s="120" t="str">
        <f>IF(Input!C37=""," ", Input!C37)</f>
        <v xml:space="preserve"> </v>
      </c>
      <c r="C30" s="119" t="str">
        <f>IF(PTKEY=2,'PT Answer Tables'!C31,IF(PTKEY=3,'PT Answer Tables'!D31,IF(PTKEY=4,'PT Answer Tables'!E31,IF(PTKEY=5,'PT Answer Tables'!F31,IF(PTKEY=6,'PT Answer Tables'!G31,IF(PTKEY=7,'PT Answer Tables'!H31,0))))))</f>
        <v>c</v>
      </c>
      <c r="D30" s="119" t="str">
        <f>IF(PTKEY=2,'PT 1 Skill Tables'!C32,IF(PTKEY=3,'PT 2 Skill Tables'!C32,IF(PTKEY=4,'PT 3 Skill Tables'!C32,IF(PTKEY=5,'PT 4 Skill Tables'!C32,IF(PTKEY=6,'PT 5 Skill Tables'!C32,IF(PTKEY=7,'PT 6 Skill Tables'!C32,0))))))</f>
        <v>Synthesis</v>
      </c>
      <c r="E30" s="119" t="str">
        <f>IF(PTKEY=2,'PT 1 Skill Tables'!D32,IF(PTKEY=3,'PT 2 Skill Tables'!D32,IF(PTKEY=4,'PT 3 Skill Tables'!D32,IF(PTKEY=5,'PT 4 Skill Tables'!D32,IF(PTKEY=6,'PT 5 Skill Tables'!D32,IF(PTKEY=7,'PT 5 Skill Tables'!D32,0))))))</f>
        <v>Analyzing Quantitative Information</v>
      </c>
      <c r="F30" s="120" t="str">
        <f>IF(PTKEY=2,IF('PT 1 Skill Tables'!H32=1,"History",IF('PT 1 Skill Tables'!I32=1,"Science","")),IF(PTKEY=3,IF('PT 2 Skill Tables'!H32=1,"History",IF('PT 2 Skill Tables'!I32=1,"Science","")),IF(PTKEY=4,IF('PT 3 Skill Tables'!H32=1,"History",IF('PT 3 Skill Tables'!I32=1,"Science","")),IF(PTKEY=5,IF('PT 4 Skill Tables'!H32=1,"History",IF('PT 4 Skill Tables'!I32=1,"Science","")),IF(PTKEY=6,IF('PT 5 Skill Tables'!H32=1,"History",IF('PT 5 Skill Tables'!I32=1,"Science","")),IF(PTKEY=7,IF('PT 6 Skill Tables'!H32=1,"History",IF('PT 6 Skill Tables'!I32=1,"Science",""))))))))</f>
        <v>Science</v>
      </c>
      <c r="G30" s="120" t="str">
        <f>IF(PTKEY=2,IF('PT 1 Skill Tables'!F32=1,"Words in Context",IF('PT 1 Skill Tables'!G32=1,"Command of Evidence","")),IF(PTKEY=3,IF('PT 2 Skill Tables'!F32=1,"Words in Context",IF('PT 2 Skill Tables'!G32=1,"Command of Evidence","")),IF(PTKEY=4,IF('PT 3 Skill Tables'!F32=1,"Words in Context",IF('PT 3 Skill Tables'!G32=1,"Command of Evidence","")),IF(PTKEY=5,IF('PT 4 Skill Tables'!F32=1,"Words in Context",IF('PT 4 Skill Tables'!G32=1,"Command of Evidence","")),IF(PTKEY=6,IF('PT 5 Skill Tables'!F32=1,"Words in Context",IF('PT 5 Skill Tables'!G32=1,"Command of Evidence","")),IF(PTKEY=7,IF('PT 6 Skill Tables'!F32=1,"Words in Context",IF('PT 6 Skill Tables'!G32=1,"Command of Evidence",""))))))))</f>
        <v>Command of Evidence</v>
      </c>
    </row>
    <row r="31" spans="1:7" ht="20.25" customHeight="1">
      <c r="A31" s="119">
        <v>29</v>
      </c>
      <c r="B31" s="120" t="str">
        <f>IF(Input!C38=""," ", Input!C38)</f>
        <v xml:space="preserve"> </v>
      </c>
      <c r="C31" s="119" t="str">
        <f>IF(PTKEY=2,'PT Answer Tables'!C32,IF(PTKEY=3,'PT Answer Tables'!D32,IF(PTKEY=4,'PT Answer Tables'!E32,IF(PTKEY=5,'PT Answer Tables'!F32,IF(PTKEY=6,'PT Answer Tables'!G32,IF(PTKEY=7,'PT Answer Tables'!H32,0))))))</f>
        <v>a</v>
      </c>
      <c r="D31" s="119" t="str">
        <f>IF(PTKEY=2,'PT 1 Skill Tables'!C33,IF(PTKEY=3,'PT 2 Skill Tables'!C33,IF(PTKEY=4,'PT 3 Skill Tables'!C33,IF(PTKEY=5,'PT 4 Skill Tables'!C33,IF(PTKEY=6,'PT 5 Skill Tables'!C33,IF(PTKEY=7,'PT 6 Skill Tables'!C33,0))))))</f>
        <v>Synthesis</v>
      </c>
      <c r="E31" s="119" t="str">
        <f>IF(PTKEY=2,'PT 1 Skill Tables'!D33,IF(PTKEY=3,'PT 2 Skill Tables'!D33,IF(PTKEY=4,'PT 3 Skill Tables'!D33,IF(PTKEY=5,'PT 4 Skill Tables'!D33,IF(PTKEY=6,'PT 5 Skill Tables'!D33,IF(PTKEY=7,'PT 5 Skill Tables'!D33,0))))))</f>
        <v>Analyzing Quantitative Information</v>
      </c>
      <c r="F31" s="120" t="str">
        <f>IF(PTKEY=2,IF('PT 1 Skill Tables'!H33=1,"History",IF('PT 1 Skill Tables'!I33=1,"Science","")),IF(PTKEY=3,IF('PT 2 Skill Tables'!H33=1,"History",IF('PT 2 Skill Tables'!I33=1,"Science","")),IF(PTKEY=4,IF('PT 3 Skill Tables'!H33=1,"History",IF('PT 3 Skill Tables'!I33=1,"Science","")),IF(PTKEY=5,IF('PT 4 Skill Tables'!H33=1,"History",IF('PT 4 Skill Tables'!I33=1,"Science","")),IF(PTKEY=6,IF('PT 5 Skill Tables'!H33=1,"History",IF('PT 5 Skill Tables'!I33=1,"Science","")),IF(PTKEY=7,IF('PT 6 Skill Tables'!H33=1,"History",IF('PT 6 Skill Tables'!I33=1,"Science",""))))))))</f>
        <v>Science</v>
      </c>
      <c r="G31" s="120" t="str">
        <f>IF(PTKEY=2,IF('PT 1 Skill Tables'!F33=1,"Words in Context",IF('PT 1 Skill Tables'!G33=1,"Command of Evidence","")),IF(PTKEY=3,IF('PT 2 Skill Tables'!F33=1,"Words in Context",IF('PT 2 Skill Tables'!G33=1,"Command of Evidence","")),IF(PTKEY=4,IF('PT 3 Skill Tables'!F33=1,"Words in Context",IF('PT 3 Skill Tables'!G33=1,"Command of Evidence","")),IF(PTKEY=5,IF('PT 4 Skill Tables'!F33=1,"Words in Context",IF('PT 4 Skill Tables'!G33=1,"Command of Evidence","")),IF(PTKEY=6,IF('PT 5 Skill Tables'!F33=1,"Words in Context",IF('PT 5 Skill Tables'!G33=1,"Command of Evidence","")),IF(PTKEY=7,IF('PT 6 Skill Tables'!F33=1,"Words in Context",IF('PT 6 Skill Tables'!G33=1,"Command of Evidence",""))))))))</f>
        <v>Command of Evidence</v>
      </c>
    </row>
    <row r="32" spans="1:7" ht="20.25" customHeight="1">
      <c r="A32" s="119">
        <v>30</v>
      </c>
      <c r="B32" s="120" t="str">
        <f>IF(Input!C39=""," ", Input!C39)</f>
        <v xml:space="preserve"> </v>
      </c>
      <c r="C32" s="119" t="str">
        <f>IF(PTKEY=2,'PT Answer Tables'!C33,IF(PTKEY=3,'PT Answer Tables'!D33,IF(PTKEY=4,'PT Answer Tables'!E33,IF(PTKEY=5,'PT Answer Tables'!F33,IF(PTKEY=6,'PT Answer Tables'!G33,IF(PTKEY=7,'PT Answer Tables'!H33,0))))))</f>
        <v>a</v>
      </c>
      <c r="D32" s="119" t="str">
        <f>IF(PTKEY=2,'PT 1 Skill Tables'!C34,IF(PTKEY=3,'PT 2 Skill Tables'!C34,IF(PTKEY=4,'PT 3 Skill Tables'!C34,IF(PTKEY=5,'PT 4 Skill Tables'!C34,IF(PTKEY=6,'PT 5 Skill Tables'!C34,IF(PTKEY=7,'PT 6 Skill Tables'!C34,0))))))</f>
        <v>Synthesis</v>
      </c>
      <c r="E32" s="119" t="str">
        <f>IF(PTKEY=2,'PT 1 Skill Tables'!D34,IF(PTKEY=3,'PT 2 Skill Tables'!D34,IF(PTKEY=4,'PT 3 Skill Tables'!D34,IF(PTKEY=5,'PT 4 Skill Tables'!D34,IF(PTKEY=6,'PT 5 Skill Tables'!D34,IF(PTKEY=7,'PT 5 Skill Tables'!D34,0))))))</f>
        <v>Analyzing Quantitative Information</v>
      </c>
      <c r="F32" s="120" t="str">
        <f>IF(PTKEY=2,IF('PT 1 Skill Tables'!H34=1,"History",IF('PT 1 Skill Tables'!I34=1,"Science","")),IF(PTKEY=3,IF('PT 2 Skill Tables'!H34=1,"History",IF('PT 2 Skill Tables'!I34=1,"Science","")),IF(PTKEY=4,IF('PT 3 Skill Tables'!H34=1,"History",IF('PT 3 Skill Tables'!I34=1,"Science","")),IF(PTKEY=5,IF('PT 4 Skill Tables'!H34=1,"History",IF('PT 4 Skill Tables'!I34=1,"Science","")),IF(PTKEY=6,IF('PT 5 Skill Tables'!H34=1,"History",IF('PT 5 Skill Tables'!I34=1,"Science","")),IF(PTKEY=7,IF('PT 6 Skill Tables'!H34=1,"History",IF('PT 6 Skill Tables'!I34=1,"Science",""))))))))</f>
        <v>Science</v>
      </c>
      <c r="G32" s="120" t="str">
        <f>IF(PTKEY=2,IF('PT 1 Skill Tables'!F34=1,"Words in Context",IF('PT 1 Skill Tables'!G34=1,"Command of Evidence","")),IF(PTKEY=3,IF('PT 2 Skill Tables'!F34=1,"Words in Context",IF('PT 2 Skill Tables'!G34=1,"Command of Evidence","")),IF(PTKEY=4,IF('PT 3 Skill Tables'!F34=1,"Words in Context",IF('PT 3 Skill Tables'!G34=1,"Command of Evidence","")),IF(PTKEY=5,IF('PT 4 Skill Tables'!F34=1,"Words in Context",IF('PT 4 Skill Tables'!G34=1,"Command of Evidence","")),IF(PTKEY=6,IF('PT 5 Skill Tables'!F34=1,"Words in Context",IF('PT 5 Skill Tables'!G34=1,"Command of Evidence","")),IF(PTKEY=7,IF('PT 6 Skill Tables'!F34=1,"Words in Context",IF('PT 6 Skill Tables'!G34=1,"Command of Evidence",""))))))))</f>
        <v/>
      </c>
    </row>
    <row r="33" spans="1:7" ht="20.25" customHeight="1">
      <c r="A33" s="119">
        <v>31</v>
      </c>
      <c r="B33" s="120" t="str">
        <f>IF(Input!C40=""," ", Input!C40)</f>
        <v xml:space="preserve"> </v>
      </c>
      <c r="C33" s="119" t="str">
        <f>IF(PTKEY=2,'PT Answer Tables'!C34,IF(PTKEY=3,'PT Answer Tables'!D34,IF(PTKEY=4,'PT Answer Tables'!E34,IF(PTKEY=5,'PT Answer Tables'!F34,IF(PTKEY=6,'PT Answer Tables'!G34,IF(PTKEY=7,'PT Answer Tables'!H34,0))))))</f>
        <v>d</v>
      </c>
      <c r="D33" s="119" t="str">
        <f>IF(PTKEY=2,'PT 1 Skill Tables'!C35,IF(PTKEY=3,'PT 2 Skill Tables'!C35,IF(PTKEY=4,'PT 3 Skill Tables'!C35,IF(PTKEY=5,'PT 4 Skill Tables'!C35,IF(PTKEY=6,'PT 5 Skill Tables'!C35,IF(PTKEY=7,'PT 6 Skill Tables'!C35,0))))))</f>
        <v>Synthesis</v>
      </c>
      <c r="E33" s="119" t="str">
        <f>IF(PTKEY=2,'PT 1 Skill Tables'!D35,IF(PTKEY=3,'PT 2 Skill Tables'!D35,IF(PTKEY=4,'PT 3 Skill Tables'!D35,IF(PTKEY=5,'PT 4 Skill Tables'!D35,IF(PTKEY=6,'PT 5 Skill Tables'!D35,IF(PTKEY=7,'PT 5 Skill Tables'!D35,0))))))</f>
        <v>Analyzing Quantitative Information</v>
      </c>
      <c r="F33" s="120" t="str">
        <f>IF(PTKEY=2,IF('PT 1 Skill Tables'!H35=1,"History",IF('PT 1 Skill Tables'!I35=1,"Science","")),IF(PTKEY=3,IF('PT 2 Skill Tables'!H35=1,"History",IF('PT 2 Skill Tables'!I35=1,"Science","")),IF(PTKEY=4,IF('PT 3 Skill Tables'!H35=1,"History",IF('PT 3 Skill Tables'!I35=1,"Science","")),IF(PTKEY=5,IF('PT 4 Skill Tables'!H35=1,"History",IF('PT 4 Skill Tables'!I35=1,"Science","")),IF(PTKEY=6,IF('PT 5 Skill Tables'!H35=1,"History",IF('PT 5 Skill Tables'!I35=1,"Science","")),IF(PTKEY=7,IF('PT 6 Skill Tables'!H35=1,"History",IF('PT 6 Skill Tables'!I35=1,"Science",""))))))))</f>
        <v>Science</v>
      </c>
      <c r="G33" s="120" t="str">
        <f>IF(PTKEY=2,IF('PT 1 Skill Tables'!F35=1,"Words in Context",IF('PT 1 Skill Tables'!G35=1,"Command of Evidence","")),IF(PTKEY=3,IF('PT 2 Skill Tables'!F35=1,"Words in Context",IF('PT 2 Skill Tables'!G35=1,"Command of Evidence","")),IF(PTKEY=4,IF('PT 3 Skill Tables'!F35=1,"Words in Context",IF('PT 3 Skill Tables'!G35=1,"Command of Evidence","")),IF(PTKEY=5,IF('PT 4 Skill Tables'!F35=1,"Words in Context",IF('PT 4 Skill Tables'!G35=1,"Command of Evidence","")),IF(PTKEY=6,IF('PT 5 Skill Tables'!F35=1,"Words in Context",IF('PT 5 Skill Tables'!G35=1,"Command of Evidence","")),IF(PTKEY=7,IF('PT 6 Skill Tables'!F35=1,"Words in Context",IF('PT 6 Skill Tables'!G35=1,"Command of Evidence",""))))))))</f>
        <v/>
      </c>
    </row>
    <row r="34" spans="1:7" ht="20.25" customHeight="1">
      <c r="A34" s="119">
        <v>32</v>
      </c>
      <c r="B34" s="120" t="str">
        <f>IF(Input!C41=""," ", Input!C41)</f>
        <v xml:space="preserve"> </v>
      </c>
      <c r="C34" s="119" t="str">
        <f>IF(PTKEY=2,'PT Answer Tables'!C35,IF(PTKEY=3,'PT Answer Tables'!D35,IF(PTKEY=4,'PT Answer Tables'!E35,IF(PTKEY=5,'PT Answer Tables'!F35,IF(PTKEY=6,'PT Answer Tables'!G35,IF(PTKEY=7,'PT Answer Tables'!H35,0))))))</f>
        <v>b</v>
      </c>
      <c r="D34" s="119" t="str">
        <f>IF(PTKEY=2,'PT 1 Skill Tables'!C36,IF(PTKEY=3,'PT 2 Skill Tables'!C36,IF(PTKEY=4,'PT 3 Skill Tables'!C36,IF(PTKEY=5,'PT 4 Skill Tables'!C36,IF(PTKEY=6,'PT 5 Skill Tables'!C36,IF(PTKEY=7,'PT 6 Skill Tables'!C36,0))))))</f>
        <v>Rhetoric</v>
      </c>
      <c r="E34" s="119" t="str">
        <f>IF(PTKEY=2,'PT 1 Skill Tables'!D36,IF(PTKEY=3,'PT 2 Skill Tables'!D36,IF(PTKEY=4,'PT 3 Skill Tables'!D36,IF(PTKEY=5,'PT 4 Skill Tables'!D36,IF(PTKEY=6,'PT 5 Skill Tables'!D36,IF(PTKEY=7,'PT 5 Skill Tables'!D36,0))))))</f>
        <v>Analyzing Purpose</v>
      </c>
      <c r="F34" s="120" t="str">
        <f>IF(PTKEY=2,IF('PT 1 Skill Tables'!H36=1,"History",IF('PT 1 Skill Tables'!I36=1,"Science","")),IF(PTKEY=3,IF('PT 2 Skill Tables'!H36=1,"History",IF('PT 2 Skill Tables'!I36=1,"Science","")),IF(PTKEY=4,IF('PT 3 Skill Tables'!H36=1,"History",IF('PT 3 Skill Tables'!I36=1,"Science","")),IF(PTKEY=5,IF('PT 4 Skill Tables'!H36=1,"History",IF('PT 4 Skill Tables'!I36=1,"Science","")),IF(PTKEY=6,IF('PT 5 Skill Tables'!H36=1,"History",IF('PT 5 Skill Tables'!I36=1,"Science","")),IF(PTKEY=7,IF('PT 6 Skill Tables'!H36=1,"History",IF('PT 6 Skill Tables'!I36=1,"Science",""))))))))</f>
        <v>History</v>
      </c>
      <c r="G34" s="120" t="str">
        <f>IF(PTKEY=2,IF('PT 1 Skill Tables'!F36=1,"Words in Context",IF('PT 1 Skill Tables'!G36=1,"Command of Evidence","")),IF(PTKEY=3,IF('PT 2 Skill Tables'!F36=1,"Words in Context",IF('PT 2 Skill Tables'!G36=1,"Command of Evidence","")),IF(PTKEY=4,IF('PT 3 Skill Tables'!F36=1,"Words in Context",IF('PT 3 Skill Tables'!G36=1,"Command of Evidence","")),IF(PTKEY=5,IF('PT 4 Skill Tables'!F36=1,"Words in Context",IF('PT 4 Skill Tables'!G36=1,"Command of Evidence","")),IF(PTKEY=6,IF('PT 5 Skill Tables'!F36=1,"Words in Context",IF('PT 5 Skill Tables'!G36=1,"Command of Evidence","")),IF(PTKEY=7,IF('PT 6 Skill Tables'!F36=1,"Words in Context",IF('PT 6 Skill Tables'!G36=1,"Command of Evidence",""))))))))</f>
        <v/>
      </c>
    </row>
    <row r="35" spans="1:7" ht="20.25" customHeight="1">
      <c r="A35" s="119">
        <v>33</v>
      </c>
      <c r="B35" s="120" t="str">
        <f>IF(Input!C42=""," ", Input!C42)</f>
        <v xml:space="preserve"> </v>
      </c>
      <c r="C35" s="119" t="str">
        <f>IF(PTKEY=2,'PT Answer Tables'!C36,IF(PTKEY=3,'PT Answer Tables'!D36,IF(PTKEY=4,'PT Answer Tables'!E36,IF(PTKEY=5,'PT Answer Tables'!F36,IF(PTKEY=6,'PT Answer Tables'!G36,IF(PTKEY=7,'PT Answer Tables'!H36,0))))))</f>
        <v>a</v>
      </c>
      <c r="D35" s="119" t="str">
        <f>IF(PTKEY=2,'PT 1 Skill Tables'!C37,IF(PTKEY=3,'PT 2 Skill Tables'!C37,IF(PTKEY=4,'PT 3 Skill Tables'!C37,IF(PTKEY=5,'PT 4 Skill Tables'!C37,IF(PTKEY=6,'PT 5 Skill Tables'!C37,IF(PTKEY=7,'PT 6 Skill Tables'!C37,0))))))</f>
        <v>Information and Ideas</v>
      </c>
      <c r="E35" s="119" t="str">
        <f>IF(PTKEY=2,'PT 1 Skill Tables'!D37,IF(PTKEY=3,'PT 2 Skill Tables'!D37,IF(PTKEY=4,'PT 3 Skill Tables'!D37,IF(PTKEY=5,'PT 4 Skill Tables'!D37,IF(PTKEY=6,'PT 5 Skill Tables'!D37,IF(PTKEY=7,'PT 5 Skill Tables'!D37,0))))))</f>
        <v>Determining Central Ideas and Themes</v>
      </c>
      <c r="F35" s="120" t="str">
        <f>IF(PTKEY=2,IF('PT 1 Skill Tables'!H37=1,"History",IF('PT 1 Skill Tables'!I37=1,"Science","")),IF(PTKEY=3,IF('PT 2 Skill Tables'!H37=1,"History",IF('PT 2 Skill Tables'!I37=1,"Science","")),IF(PTKEY=4,IF('PT 3 Skill Tables'!H37=1,"History",IF('PT 3 Skill Tables'!I37=1,"Science","")),IF(PTKEY=5,IF('PT 4 Skill Tables'!H37=1,"History",IF('PT 4 Skill Tables'!I37=1,"Science","")),IF(PTKEY=6,IF('PT 5 Skill Tables'!H37=1,"History",IF('PT 5 Skill Tables'!I37=1,"Science","")),IF(PTKEY=7,IF('PT 6 Skill Tables'!H37=1,"History",IF('PT 6 Skill Tables'!I37=1,"Science",""))))))))</f>
        <v>History</v>
      </c>
      <c r="G35" s="120" t="str">
        <f>IF(PTKEY=2,IF('PT 1 Skill Tables'!F37=1,"Words in Context",IF('PT 1 Skill Tables'!G37=1,"Command of Evidence","")),IF(PTKEY=3,IF('PT 2 Skill Tables'!F37=1,"Words in Context",IF('PT 2 Skill Tables'!G37=1,"Command of Evidence","")),IF(PTKEY=4,IF('PT 3 Skill Tables'!F37=1,"Words in Context",IF('PT 3 Skill Tables'!G37=1,"Command of Evidence","")),IF(PTKEY=5,IF('PT 4 Skill Tables'!F37=1,"Words in Context",IF('PT 4 Skill Tables'!G37=1,"Command of Evidence","")),IF(PTKEY=6,IF('PT 5 Skill Tables'!F37=1,"Words in Context",IF('PT 5 Skill Tables'!G37=1,"Command of Evidence","")),IF(PTKEY=7,IF('PT 6 Skill Tables'!F37=1,"Words in Context",IF('PT 6 Skill Tables'!G37=1,"Command of Evidence",""))))))))</f>
        <v/>
      </c>
    </row>
    <row r="36" spans="1:7" ht="20.25" customHeight="1">
      <c r="A36" s="119">
        <v>34</v>
      </c>
      <c r="B36" s="120" t="str">
        <f>IF(Input!C43=""," ", Input!C43)</f>
        <v xml:space="preserve"> </v>
      </c>
      <c r="C36" s="119" t="str">
        <f>IF(PTKEY=2,'PT Answer Tables'!C37,IF(PTKEY=3,'PT Answer Tables'!D37,IF(PTKEY=4,'PT Answer Tables'!E37,IF(PTKEY=5,'PT Answer Tables'!F37,IF(PTKEY=6,'PT Answer Tables'!G37,IF(PTKEY=7,'PT Answer Tables'!H37,0))))))</f>
        <v>c</v>
      </c>
      <c r="D36" s="119" t="str">
        <f>IF(PTKEY=2,'PT 1 Skill Tables'!C38,IF(PTKEY=3,'PT 2 Skill Tables'!C38,IF(PTKEY=4,'PT 3 Skill Tables'!C38,IF(PTKEY=5,'PT 4 Skill Tables'!C38,IF(PTKEY=6,'PT 5 Skill Tables'!C38,IF(PTKEY=7,'PT 6 Skill Tables'!C38,0))))))</f>
        <v>Rhetoric</v>
      </c>
      <c r="E36" s="119" t="str">
        <f>IF(PTKEY=2,'PT 1 Skill Tables'!D38,IF(PTKEY=3,'PT 2 Skill Tables'!D38,IF(PTKEY=4,'PT 3 Skill Tables'!D38,IF(PTKEY=5,'PT 4 Skill Tables'!D38,IF(PTKEY=6,'PT 5 Skill Tables'!D38,IF(PTKEY=7,'PT 5 Skill Tables'!D38,0))))))</f>
        <v>Analyzing Word Choice</v>
      </c>
      <c r="F36" s="120" t="str">
        <f>IF(PTKEY=2,IF('PT 1 Skill Tables'!H38=1,"History",IF('PT 1 Skill Tables'!I38=1,"Science","")),IF(PTKEY=3,IF('PT 2 Skill Tables'!H38=1,"History",IF('PT 2 Skill Tables'!I38=1,"Science","")),IF(PTKEY=4,IF('PT 3 Skill Tables'!H38=1,"History",IF('PT 3 Skill Tables'!I38=1,"Science","")),IF(PTKEY=5,IF('PT 4 Skill Tables'!H38=1,"History",IF('PT 4 Skill Tables'!I38=1,"Science","")),IF(PTKEY=6,IF('PT 5 Skill Tables'!H38=1,"History",IF('PT 5 Skill Tables'!I38=1,"Science","")),IF(PTKEY=7,IF('PT 6 Skill Tables'!H38=1,"History",IF('PT 6 Skill Tables'!I38=1,"Science",""))))))))</f>
        <v>History</v>
      </c>
      <c r="G36" s="120" t="str">
        <f>IF(PTKEY=2,IF('PT 1 Skill Tables'!F38=1,"Words in Context",IF('PT 1 Skill Tables'!G38=1,"Command of Evidence","")),IF(PTKEY=3,IF('PT 2 Skill Tables'!F38=1,"Words in Context",IF('PT 2 Skill Tables'!G38=1,"Command of Evidence","")),IF(PTKEY=4,IF('PT 3 Skill Tables'!F38=1,"Words in Context",IF('PT 3 Skill Tables'!G38=1,"Command of Evidence","")),IF(PTKEY=5,IF('PT 4 Skill Tables'!F38=1,"Words in Context",IF('PT 4 Skill Tables'!G38=1,"Command of Evidence","")),IF(PTKEY=6,IF('PT 5 Skill Tables'!F38=1,"Words in Context",IF('PT 5 Skill Tables'!G38=1,"Command of Evidence","")),IF(PTKEY=7,IF('PT 6 Skill Tables'!F38=1,"Words in Context",IF('PT 6 Skill Tables'!G38=1,"Command of Evidence",""))))))))</f>
        <v>Words in Context</v>
      </c>
    </row>
    <row r="37" spans="1:7" ht="20.25" customHeight="1">
      <c r="A37" s="119">
        <v>35</v>
      </c>
      <c r="B37" s="120" t="str">
        <f>IF(Input!C44=""," ", Input!C44)</f>
        <v xml:space="preserve"> </v>
      </c>
      <c r="C37" s="119" t="str">
        <f>IF(PTKEY=2,'PT Answer Tables'!C38,IF(PTKEY=3,'PT Answer Tables'!D38,IF(PTKEY=4,'PT Answer Tables'!E38,IF(PTKEY=5,'PT Answer Tables'!F38,IF(PTKEY=6,'PT Answer Tables'!G38,IF(PTKEY=7,'PT Answer Tables'!H38,0))))))</f>
        <v>b</v>
      </c>
      <c r="D37" s="119" t="str">
        <f>IF(PTKEY=2,'PT 1 Skill Tables'!C39,IF(PTKEY=3,'PT 2 Skill Tables'!C39,IF(PTKEY=4,'PT 3 Skill Tables'!C39,IF(PTKEY=5,'PT 4 Skill Tables'!C39,IF(PTKEY=6,'PT 5 Skill Tables'!C39,IF(PTKEY=7,'PT 6 Skill Tables'!C39,0))))))</f>
        <v>Information and Ideas</v>
      </c>
      <c r="E37" s="119" t="str">
        <f>IF(PTKEY=2,'PT 1 Skill Tables'!D39,IF(PTKEY=3,'PT 2 Skill Tables'!D39,IF(PTKEY=4,'PT 3 Skill Tables'!D39,IF(PTKEY=5,'PT 4 Skill Tables'!D39,IF(PTKEY=6,'PT 5 Skill Tables'!D39,IF(PTKEY=7,'PT 5 Skill Tables'!D39,0))))))</f>
        <v>Reading Closely</v>
      </c>
      <c r="F37" s="120" t="str">
        <f>IF(PTKEY=2,IF('PT 1 Skill Tables'!H39=1,"History",IF('PT 1 Skill Tables'!I39=1,"Science","")),IF(PTKEY=3,IF('PT 2 Skill Tables'!H39=1,"History",IF('PT 2 Skill Tables'!I39=1,"Science","")),IF(PTKEY=4,IF('PT 3 Skill Tables'!H39=1,"History",IF('PT 3 Skill Tables'!I39=1,"Science","")),IF(PTKEY=5,IF('PT 4 Skill Tables'!H39=1,"History",IF('PT 4 Skill Tables'!I39=1,"Science","")),IF(PTKEY=6,IF('PT 5 Skill Tables'!H39=1,"History",IF('PT 5 Skill Tables'!I39=1,"Science","")),IF(PTKEY=7,IF('PT 6 Skill Tables'!H39=1,"History",IF('PT 6 Skill Tables'!I39=1,"Science",""))))))))</f>
        <v>History</v>
      </c>
      <c r="G37" s="120" t="str">
        <f>IF(PTKEY=2,IF('PT 1 Skill Tables'!F39=1,"Words in Context",IF('PT 1 Skill Tables'!G39=1,"Command of Evidence","")),IF(PTKEY=3,IF('PT 2 Skill Tables'!F39=1,"Words in Context",IF('PT 2 Skill Tables'!G39=1,"Command of Evidence","")),IF(PTKEY=4,IF('PT 3 Skill Tables'!F39=1,"Words in Context",IF('PT 3 Skill Tables'!G39=1,"Command of Evidence","")),IF(PTKEY=5,IF('PT 4 Skill Tables'!F39=1,"Words in Context",IF('PT 4 Skill Tables'!G39=1,"Command of Evidence","")),IF(PTKEY=6,IF('PT 5 Skill Tables'!F39=1,"Words in Context",IF('PT 5 Skill Tables'!G39=1,"Command of Evidence","")),IF(PTKEY=7,IF('PT 6 Skill Tables'!F39=1,"Words in Context",IF('PT 6 Skill Tables'!G39=1,"Command of Evidence",""))))))))</f>
        <v/>
      </c>
    </row>
    <row r="38" spans="1:7" ht="20.25" customHeight="1">
      <c r="A38" s="119">
        <v>36</v>
      </c>
      <c r="B38" s="120" t="str">
        <f>IF(Input!C45=""," ", Input!C45)</f>
        <v xml:space="preserve"> </v>
      </c>
      <c r="C38" s="119" t="str">
        <f>IF(PTKEY=2,'PT Answer Tables'!C39,IF(PTKEY=3,'PT Answer Tables'!D39,IF(PTKEY=4,'PT Answer Tables'!E39,IF(PTKEY=5,'PT Answer Tables'!F39,IF(PTKEY=6,'PT Answer Tables'!G39,IF(PTKEY=7,'PT Answer Tables'!H39,0))))))</f>
        <v>d</v>
      </c>
      <c r="D38" s="119" t="str">
        <f>IF(PTKEY=2,'PT 1 Skill Tables'!C40,IF(PTKEY=3,'PT 2 Skill Tables'!C40,IF(PTKEY=4,'PT 3 Skill Tables'!C40,IF(PTKEY=5,'PT 4 Skill Tables'!C40,IF(PTKEY=6,'PT 5 Skill Tables'!C40,IF(PTKEY=7,'PT 6 Skill Tables'!C40,0))))))</f>
        <v>Information and Ideas</v>
      </c>
      <c r="E38" s="119" t="str">
        <f>IF(PTKEY=2,'PT 1 Skill Tables'!D40,IF(PTKEY=3,'PT 2 Skill Tables'!D40,IF(PTKEY=4,'PT 3 Skill Tables'!D40,IF(PTKEY=5,'PT 4 Skill Tables'!D40,IF(PTKEY=6,'PT 5 Skill Tables'!D40,IF(PTKEY=7,'PT 5 Skill Tables'!D40,0))))))</f>
        <v>Reading Closely</v>
      </c>
      <c r="F38" s="120" t="str">
        <f>IF(PTKEY=2,IF('PT 1 Skill Tables'!H40=1,"History",IF('PT 1 Skill Tables'!I40=1,"Science","")),IF(PTKEY=3,IF('PT 2 Skill Tables'!H40=1,"History",IF('PT 2 Skill Tables'!I40=1,"Science","")),IF(PTKEY=4,IF('PT 3 Skill Tables'!H40=1,"History",IF('PT 3 Skill Tables'!I40=1,"Science","")),IF(PTKEY=5,IF('PT 4 Skill Tables'!H40=1,"History",IF('PT 4 Skill Tables'!I40=1,"Science","")),IF(PTKEY=6,IF('PT 5 Skill Tables'!H40=1,"History",IF('PT 5 Skill Tables'!I40=1,"Science","")),IF(PTKEY=7,IF('PT 6 Skill Tables'!H40=1,"History",IF('PT 6 Skill Tables'!I40=1,"Science",""))))))))</f>
        <v>History</v>
      </c>
      <c r="G38" s="120" t="str">
        <f>IF(PTKEY=2,IF('PT 1 Skill Tables'!F40=1,"Words in Context",IF('PT 1 Skill Tables'!G40=1,"Command of Evidence","")),IF(PTKEY=3,IF('PT 2 Skill Tables'!F40=1,"Words in Context",IF('PT 2 Skill Tables'!G40=1,"Command of Evidence","")),IF(PTKEY=4,IF('PT 3 Skill Tables'!F40=1,"Words in Context",IF('PT 3 Skill Tables'!G40=1,"Command of Evidence","")),IF(PTKEY=5,IF('PT 4 Skill Tables'!F40=1,"Words in Context",IF('PT 4 Skill Tables'!G40=1,"Command of Evidence","")),IF(PTKEY=6,IF('PT 5 Skill Tables'!F40=1,"Words in Context",IF('PT 5 Skill Tables'!G40=1,"Command of Evidence","")),IF(PTKEY=7,IF('PT 6 Skill Tables'!F40=1,"Words in Context",IF('PT 6 Skill Tables'!G40=1,"Command of Evidence",""))))))))</f>
        <v/>
      </c>
    </row>
    <row r="39" spans="1:7" ht="20.25" customHeight="1">
      <c r="A39" s="119">
        <v>37</v>
      </c>
      <c r="B39" s="120" t="str">
        <f>IF(Input!C46=""," ", Input!C46)</f>
        <v xml:space="preserve"> </v>
      </c>
      <c r="C39" s="119" t="str">
        <f>IF(PTKEY=2,'PT Answer Tables'!C40,IF(PTKEY=3,'PT Answer Tables'!D40,IF(PTKEY=4,'PT Answer Tables'!E40,IF(PTKEY=5,'PT Answer Tables'!F40,IF(PTKEY=6,'PT Answer Tables'!G40,IF(PTKEY=7,'PT Answer Tables'!H40,0))))))</f>
        <v>c</v>
      </c>
      <c r="D39" s="119" t="str">
        <f>IF(PTKEY=2,'PT 1 Skill Tables'!C41,IF(PTKEY=3,'PT 2 Skill Tables'!C41,IF(PTKEY=4,'PT 3 Skill Tables'!C41,IF(PTKEY=5,'PT 4 Skill Tables'!C41,IF(PTKEY=6,'PT 5 Skill Tables'!C41,IF(PTKEY=7,'PT 6 Skill Tables'!C41,0))))))</f>
        <v>Information and Ideas</v>
      </c>
      <c r="E39" s="119" t="str">
        <f>IF(PTKEY=2,'PT 1 Skill Tables'!D41,IF(PTKEY=3,'PT 2 Skill Tables'!D41,IF(PTKEY=4,'PT 3 Skill Tables'!D41,IF(PTKEY=5,'PT 4 Skill Tables'!D41,IF(PTKEY=6,'PT 5 Skill Tables'!D41,IF(PTKEY=7,'PT 5 Skill Tables'!D41,0))))))</f>
        <v>Citing Evidence</v>
      </c>
      <c r="F39" s="120" t="str">
        <f>IF(PTKEY=2,IF('PT 1 Skill Tables'!H41=1,"History",IF('PT 1 Skill Tables'!I41=1,"Science","")),IF(PTKEY=3,IF('PT 2 Skill Tables'!H41=1,"History",IF('PT 2 Skill Tables'!I41=1,"Science","")),IF(PTKEY=4,IF('PT 3 Skill Tables'!H41=1,"History",IF('PT 3 Skill Tables'!I41=1,"Science","")),IF(PTKEY=5,IF('PT 4 Skill Tables'!H41=1,"History",IF('PT 4 Skill Tables'!I41=1,"Science","")),IF(PTKEY=6,IF('PT 5 Skill Tables'!H41=1,"History",IF('PT 5 Skill Tables'!I41=1,"Science","")),IF(PTKEY=7,IF('PT 6 Skill Tables'!H41=1,"History",IF('PT 6 Skill Tables'!I41=1,"Science",""))))))))</f>
        <v>History</v>
      </c>
      <c r="G39" s="120" t="str">
        <f>IF(PTKEY=2,IF('PT 1 Skill Tables'!F41=1,"Words in Context",IF('PT 1 Skill Tables'!G41=1,"Command of Evidence","")),IF(PTKEY=3,IF('PT 2 Skill Tables'!F41=1,"Words in Context",IF('PT 2 Skill Tables'!G41=1,"Command of Evidence","")),IF(PTKEY=4,IF('PT 3 Skill Tables'!F41=1,"Words in Context",IF('PT 3 Skill Tables'!G41=1,"Command of Evidence","")),IF(PTKEY=5,IF('PT 4 Skill Tables'!F41=1,"Words in Context",IF('PT 4 Skill Tables'!G41=1,"Command of Evidence","")),IF(PTKEY=6,IF('PT 5 Skill Tables'!F41=1,"Words in Context",IF('PT 5 Skill Tables'!G41=1,"Command of Evidence","")),IF(PTKEY=7,IF('PT 6 Skill Tables'!F41=1,"Words in Context",IF('PT 6 Skill Tables'!G41=1,"Command of Evidence",""))))))))</f>
        <v>Command of Evidence</v>
      </c>
    </row>
    <row r="40" spans="1:7" ht="20.25" customHeight="1">
      <c r="A40" s="119">
        <v>38</v>
      </c>
      <c r="B40" s="120" t="str">
        <f>IF(Input!C47=""," ", Input!C47)</f>
        <v xml:space="preserve"> </v>
      </c>
      <c r="C40" s="119" t="str">
        <f>IF(PTKEY=2,'PT Answer Tables'!C41,IF(PTKEY=3,'PT Answer Tables'!D41,IF(PTKEY=4,'PT Answer Tables'!E41,IF(PTKEY=5,'PT Answer Tables'!F41,IF(PTKEY=6,'PT Answer Tables'!G41,IF(PTKEY=7,'PT Answer Tables'!H41,0))))))</f>
        <v>c</v>
      </c>
      <c r="D40" s="119" t="str">
        <f>IF(PTKEY=2,'PT 1 Skill Tables'!C42,IF(PTKEY=3,'PT 2 Skill Tables'!C42,IF(PTKEY=4,'PT 3 Skill Tables'!C42,IF(PTKEY=5,'PT 4 Skill Tables'!C42,IF(PTKEY=6,'PT 5 Skill Tables'!C42,IF(PTKEY=7,'PT 6 Skill Tables'!C42,0))))))</f>
        <v>Information and Ideas</v>
      </c>
      <c r="E40" s="119" t="str">
        <f>IF(PTKEY=2,'PT 1 Skill Tables'!D42,IF(PTKEY=3,'PT 2 Skill Tables'!D42,IF(PTKEY=4,'PT 3 Skill Tables'!D42,IF(PTKEY=5,'PT 4 Skill Tables'!D42,IF(PTKEY=6,'PT 5 Skill Tables'!D42,IF(PTKEY=7,'PT 5 Skill Tables'!D42,0))))))</f>
        <v>Reading Closely</v>
      </c>
      <c r="F40" s="120" t="str">
        <f>IF(PTKEY=2,IF('PT 1 Skill Tables'!H42=1,"History",IF('PT 1 Skill Tables'!I42=1,"Science","")),IF(PTKEY=3,IF('PT 2 Skill Tables'!H42=1,"History",IF('PT 2 Skill Tables'!I42=1,"Science","")),IF(PTKEY=4,IF('PT 3 Skill Tables'!H42=1,"History",IF('PT 3 Skill Tables'!I42=1,"Science","")),IF(PTKEY=5,IF('PT 4 Skill Tables'!H42=1,"History",IF('PT 4 Skill Tables'!I42=1,"Science","")),IF(PTKEY=6,IF('PT 5 Skill Tables'!H42=1,"History",IF('PT 5 Skill Tables'!I42=1,"Science","")),IF(PTKEY=7,IF('PT 6 Skill Tables'!H42=1,"History",IF('PT 6 Skill Tables'!I42=1,"Science",""))))))))</f>
        <v>History</v>
      </c>
      <c r="G40" s="120" t="str">
        <f>IF(PTKEY=2,IF('PT 1 Skill Tables'!F42=1,"Words in Context",IF('PT 1 Skill Tables'!G42=1,"Command of Evidence","")),IF(PTKEY=3,IF('PT 2 Skill Tables'!F42=1,"Words in Context",IF('PT 2 Skill Tables'!G42=1,"Command of Evidence","")),IF(PTKEY=4,IF('PT 3 Skill Tables'!F42=1,"Words in Context",IF('PT 3 Skill Tables'!G42=1,"Command of Evidence","")),IF(PTKEY=5,IF('PT 4 Skill Tables'!F42=1,"Words in Context",IF('PT 4 Skill Tables'!G42=1,"Command of Evidence","")),IF(PTKEY=6,IF('PT 5 Skill Tables'!F42=1,"Words in Context",IF('PT 5 Skill Tables'!G42=1,"Command of Evidence","")),IF(PTKEY=7,IF('PT 6 Skill Tables'!F42=1,"Words in Context",IF('PT 6 Skill Tables'!G42=1,"Command of Evidence",""))))))))</f>
        <v/>
      </c>
    </row>
    <row r="41" spans="1:7" ht="20.25" customHeight="1">
      <c r="A41" s="119">
        <v>39</v>
      </c>
      <c r="B41" s="120" t="str">
        <f>IF(Input!C48=""," ", Input!C48)</f>
        <v xml:space="preserve"> </v>
      </c>
      <c r="C41" s="119" t="str">
        <f>IF(PTKEY=2,'PT Answer Tables'!C42,IF(PTKEY=3,'PT Answer Tables'!D42,IF(PTKEY=4,'PT Answer Tables'!E42,IF(PTKEY=5,'PT Answer Tables'!F42,IF(PTKEY=6,'PT Answer Tables'!G42,IF(PTKEY=7,'PT Answer Tables'!H42,0))))))</f>
        <v>b</v>
      </c>
      <c r="D41" s="119" t="str">
        <f>IF(PTKEY=2,'PT 1 Skill Tables'!C43,IF(PTKEY=3,'PT 2 Skill Tables'!C43,IF(PTKEY=4,'PT 3 Skill Tables'!C43,IF(PTKEY=5,'PT 4 Skill Tables'!C43,IF(PTKEY=6,'PT 5 Skill Tables'!C43,IF(PTKEY=7,'PT 6 Skill Tables'!C43,0))))))</f>
        <v>Information and Ideas</v>
      </c>
      <c r="E41" s="119" t="str">
        <f>IF(PTKEY=2,'PT 1 Skill Tables'!D43,IF(PTKEY=3,'PT 2 Skill Tables'!D43,IF(PTKEY=4,'PT 3 Skill Tables'!D43,IF(PTKEY=5,'PT 4 Skill Tables'!D43,IF(PTKEY=6,'PT 5 Skill Tables'!D43,IF(PTKEY=7,'PT 5 Skill Tables'!D43,0))))))</f>
        <v>Citing Evidence</v>
      </c>
      <c r="F41" s="120" t="str">
        <f>IF(PTKEY=2,IF('PT 1 Skill Tables'!H43=1,"History",IF('PT 1 Skill Tables'!I43=1,"Science","")),IF(PTKEY=3,IF('PT 2 Skill Tables'!H43=1,"History",IF('PT 2 Skill Tables'!I43=1,"Science","")),IF(PTKEY=4,IF('PT 3 Skill Tables'!H43=1,"History",IF('PT 3 Skill Tables'!I43=1,"Science","")),IF(PTKEY=5,IF('PT 4 Skill Tables'!H43=1,"History",IF('PT 4 Skill Tables'!I43=1,"Science","")),IF(PTKEY=6,IF('PT 5 Skill Tables'!H43=1,"History",IF('PT 5 Skill Tables'!I43=1,"Science","")),IF(PTKEY=7,IF('PT 6 Skill Tables'!H43=1,"History",IF('PT 6 Skill Tables'!I43=1,"Science",""))))))))</f>
        <v>History</v>
      </c>
      <c r="G41" s="120" t="str">
        <f>IF(PTKEY=2,IF('PT 1 Skill Tables'!F43=1,"Words in Context",IF('PT 1 Skill Tables'!G43=1,"Command of Evidence","")),IF(PTKEY=3,IF('PT 2 Skill Tables'!F43=1,"Words in Context",IF('PT 2 Skill Tables'!G43=1,"Command of Evidence","")),IF(PTKEY=4,IF('PT 3 Skill Tables'!F43=1,"Words in Context",IF('PT 3 Skill Tables'!G43=1,"Command of Evidence","")),IF(PTKEY=5,IF('PT 4 Skill Tables'!F43=1,"Words in Context",IF('PT 4 Skill Tables'!G43=1,"Command of Evidence","")),IF(PTKEY=6,IF('PT 5 Skill Tables'!F43=1,"Words in Context",IF('PT 5 Skill Tables'!G43=1,"Command of Evidence","")),IF(PTKEY=7,IF('PT 6 Skill Tables'!F43=1,"Words in Context",IF('PT 6 Skill Tables'!G43=1,"Command of Evidence",""))))))))</f>
        <v>Command of Evidence</v>
      </c>
    </row>
    <row r="42" spans="1:7" ht="20.25" customHeight="1">
      <c r="A42" s="119">
        <v>40</v>
      </c>
      <c r="B42" s="120" t="str">
        <f>IF(Input!C49=""," ", Input!C49)</f>
        <v xml:space="preserve"> </v>
      </c>
      <c r="C42" s="119" t="str">
        <f>IF(PTKEY=2,'PT Answer Tables'!C43,IF(PTKEY=3,'PT Answer Tables'!D43,IF(PTKEY=4,'PT Answer Tables'!E43,IF(PTKEY=5,'PT Answer Tables'!F43,IF(PTKEY=6,'PT Answer Tables'!G43,IF(PTKEY=7,'PT Answer Tables'!H43,0))))))</f>
        <v>c</v>
      </c>
      <c r="D42" s="119" t="str">
        <f>IF(PTKEY=2,'PT 1 Skill Tables'!C44,IF(PTKEY=3,'PT 2 Skill Tables'!C44,IF(PTKEY=4,'PT 3 Skill Tables'!C44,IF(PTKEY=5,'PT 4 Skill Tables'!C44,IF(PTKEY=6,'PT 5 Skill Tables'!C44,IF(PTKEY=7,'PT 6 Skill Tables'!C44,0))))))</f>
        <v>Information and Ideas</v>
      </c>
      <c r="E42" s="119" t="str">
        <f>IF(PTKEY=2,'PT 1 Skill Tables'!D44,IF(PTKEY=3,'PT 2 Skill Tables'!D44,IF(PTKEY=4,'PT 3 Skill Tables'!D44,IF(PTKEY=5,'PT 4 Skill Tables'!D44,IF(PTKEY=6,'PT 5 Skill Tables'!D44,IF(PTKEY=7,'PT 5 Skill Tables'!D44,0))))))</f>
        <v>Interpreting Words and Phrases in Context</v>
      </c>
      <c r="F42" s="120" t="str">
        <f>IF(PTKEY=2,IF('PT 1 Skill Tables'!H44=1,"History",IF('PT 1 Skill Tables'!I44=1,"Science","")),IF(PTKEY=3,IF('PT 2 Skill Tables'!H44=1,"History",IF('PT 2 Skill Tables'!I44=1,"Science","")),IF(PTKEY=4,IF('PT 3 Skill Tables'!H44=1,"History",IF('PT 3 Skill Tables'!I44=1,"Science","")),IF(PTKEY=5,IF('PT 4 Skill Tables'!H44=1,"History",IF('PT 4 Skill Tables'!I44=1,"Science","")),IF(PTKEY=6,IF('PT 5 Skill Tables'!H44=1,"History",IF('PT 5 Skill Tables'!I44=1,"Science","")),IF(PTKEY=7,IF('PT 6 Skill Tables'!H44=1,"History",IF('PT 6 Skill Tables'!I44=1,"Science",""))))))))</f>
        <v>History</v>
      </c>
      <c r="G42" s="120" t="str">
        <f>IF(PTKEY=2,IF('PT 1 Skill Tables'!F44=1,"Words in Context",IF('PT 1 Skill Tables'!G44=1,"Command of Evidence","")),IF(PTKEY=3,IF('PT 2 Skill Tables'!F44=1,"Words in Context",IF('PT 2 Skill Tables'!G44=1,"Command of Evidence","")),IF(PTKEY=4,IF('PT 3 Skill Tables'!F44=1,"Words in Context",IF('PT 3 Skill Tables'!G44=1,"Command of Evidence","")),IF(PTKEY=5,IF('PT 4 Skill Tables'!F44=1,"Words in Context",IF('PT 4 Skill Tables'!G44=1,"Command of Evidence","")),IF(PTKEY=6,IF('PT 5 Skill Tables'!F44=1,"Words in Context",IF('PT 5 Skill Tables'!G44=1,"Command of Evidence","")),IF(PTKEY=7,IF('PT 6 Skill Tables'!F44=1,"Words in Context",IF('PT 6 Skill Tables'!G44=1,"Command of Evidence",""))))))))</f>
        <v>Words in Context</v>
      </c>
    </row>
    <row r="43" spans="1:7" ht="20.25" customHeight="1">
      <c r="A43" s="119">
        <v>41</v>
      </c>
      <c r="B43" s="120" t="str">
        <f>IF(Input!C50=""," ", Input!C50)</f>
        <v xml:space="preserve"> </v>
      </c>
      <c r="C43" s="119" t="str">
        <f>IF(PTKEY=2,'PT Answer Tables'!C44,IF(PTKEY=3,'PT Answer Tables'!D44,IF(PTKEY=4,'PT Answer Tables'!E44,IF(PTKEY=5,'PT Answer Tables'!F44,IF(PTKEY=6,'PT Answer Tables'!G44,IF(PTKEY=7,'PT Answer Tables'!H44,0))))))</f>
        <v>b</v>
      </c>
      <c r="D43" s="119" t="str">
        <f>IF(PTKEY=2,'PT 1 Skill Tables'!C45,IF(PTKEY=3,'PT 2 Skill Tables'!C45,IF(PTKEY=4,'PT 3 Skill Tables'!C45,IF(PTKEY=5,'PT 4 Skill Tables'!C45,IF(PTKEY=6,'PT 5 Skill Tables'!C45,IF(PTKEY=7,'PT 6 Skill Tables'!C45,0))))))</f>
        <v>Rhetoric</v>
      </c>
      <c r="E43" s="119" t="str">
        <f>IF(PTKEY=2,'PT 1 Skill Tables'!D45,IF(PTKEY=3,'PT 2 Skill Tables'!D45,IF(PTKEY=4,'PT 3 Skill Tables'!D45,IF(PTKEY=5,'PT 4 Skill Tables'!D45,IF(PTKEY=6,'PT 5 Skill Tables'!D45,IF(PTKEY=7,'PT 5 Skill Tables'!D45,0))))))</f>
        <v>Analyzing Purpose</v>
      </c>
      <c r="F43" s="120" t="str">
        <f>IF(PTKEY=2,IF('PT 1 Skill Tables'!H45=1,"History",IF('PT 1 Skill Tables'!I45=1,"Science","")),IF(PTKEY=3,IF('PT 2 Skill Tables'!H45=1,"History",IF('PT 2 Skill Tables'!I45=1,"Science","")),IF(PTKEY=4,IF('PT 3 Skill Tables'!H45=1,"History",IF('PT 3 Skill Tables'!I45=1,"Science","")),IF(PTKEY=5,IF('PT 4 Skill Tables'!H45=1,"History",IF('PT 4 Skill Tables'!I45=1,"Science","")),IF(PTKEY=6,IF('PT 5 Skill Tables'!H45=1,"History",IF('PT 5 Skill Tables'!I45=1,"Science","")),IF(PTKEY=7,IF('PT 6 Skill Tables'!H45=1,"History",IF('PT 6 Skill Tables'!I45=1,"Science",""))))))))</f>
        <v>History</v>
      </c>
      <c r="G43" s="120" t="str">
        <f>IF(PTKEY=2,IF('PT 1 Skill Tables'!F45=1,"Words in Context",IF('PT 1 Skill Tables'!G45=1,"Command of Evidence","")),IF(PTKEY=3,IF('PT 2 Skill Tables'!F45=1,"Words in Context",IF('PT 2 Skill Tables'!G45=1,"Command of Evidence","")),IF(PTKEY=4,IF('PT 3 Skill Tables'!F45=1,"Words in Context",IF('PT 3 Skill Tables'!G45=1,"Command of Evidence","")),IF(PTKEY=5,IF('PT 4 Skill Tables'!F45=1,"Words in Context",IF('PT 4 Skill Tables'!G45=1,"Command of Evidence","")),IF(PTKEY=6,IF('PT 5 Skill Tables'!F45=1,"Words in Context",IF('PT 5 Skill Tables'!G45=1,"Command of Evidence","")),IF(PTKEY=7,IF('PT 6 Skill Tables'!F45=1,"Words in Context",IF('PT 6 Skill Tables'!G45=1,"Command of Evidence",""))))))))</f>
        <v/>
      </c>
    </row>
    <row r="44" spans="1:7" ht="20.25" customHeight="1">
      <c r="A44" s="119">
        <v>42</v>
      </c>
      <c r="B44" s="120" t="str">
        <f>IF(Input!C51=""," ", Input!C51)</f>
        <v xml:space="preserve"> </v>
      </c>
      <c r="C44" s="119" t="str">
        <f>IF(PTKEY=2,'PT Answer Tables'!C45,IF(PTKEY=3,'PT Answer Tables'!D45,IF(PTKEY=4,'PT Answer Tables'!E45,IF(PTKEY=5,'PT Answer Tables'!F45,IF(PTKEY=6,'PT Answer Tables'!G45,IF(PTKEY=7,'PT Answer Tables'!H45,0))))))</f>
        <v>b</v>
      </c>
      <c r="D44" s="119" t="str">
        <f>IF(PTKEY=2,'PT 1 Skill Tables'!C46,IF(PTKEY=3,'PT 2 Skill Tables'!C46,IF(PTKEY=4,'PT 3 Skill Tables'!C46,IF(PTKEY=5,'PT 4 Skill Tables'!C46,IF(PTKEY=6,'PT 5 Skill Tables'!C46,IF(PTKEY=7,'PT 6 Skill Tables'!C46,0))))))</f>
        <v>Rhetoric</v>
      </c>
      <c r="E44" s="119" t="str">
        <f>IF(PTKEY=2,'PT 1 Skill Tables'!D46,IF(PTKEY=3,'PT 2 Skill Tables'!D46,IF(PTKEY=4,'PT 3 Skill Tables'!D46,IF(PTKEY=5,'PT 4 Skill Tables'!D46,IF(PTKEY=6,'PT 5 Skill Tables'!D46,IF(PTKEY=7,'PT 5 Skill Tables'!D46,0))))))</f>
        <v>Analyzing Purpose</v>
      </c>
      <c r="F44" s="120" t="str">
        <f>IF(PTKEY=2,IF('PT 1 Skill Tables'!H46=1,"History",IF('PT 1 Skill Tables'!I46=1,"Science","")),IF(PTKEY=3,IF('PT 2 Skill Tables'!H46=1,"History",IF('PT 2 Skill Tables'!I46=1,"Science","")),IF(PTKEY=4,IF('PT 3 Skill Tables'!H46=1,"History",IF('PT 3 Skill Tables'!I46=1,"Science","")),IF(PTKEY=5,IF('PT 4 Skill Tables'!H46=1,"History",IF('PT 4 Skill Tables'!I46=1,"Science","")),IF(PTKEY=6,IF('PT 5 Skill Tables'!H46=1,"History",IF('PT 5 Skill Tables'!I46=1,"Science","")),IF(PTKEY=7,IF('PT 6 Skill Tables'!H46=1,"History",IF('PT 6 Skill Tables'!I46=1,"Science",""))))))))</f>
        <v>Science</v>
      </c>
      <c r="G44" s="120" t="str">
        <f>IF(PTKEY=2,IF('PT 1 Skill Tables'!F46=1,"Words in Context",IF('PT 1 Skill Tables'!G46=1,"Command of Evidence","")),IF(PTKEY=3,IF('PT 2 Skill Tables'!F46=1,"Words in Context",IF('PT 2 Skill Tables'!G46=1,"Command of Evidence","")),IF(PTKEY=4,IF('PT 3 Skill Tables'!F46=1,"Words in Context",IF('PT 3 Skill Tables'!G46=1,"Command of Evidence","")),IF(PTKEY=5,IF('PT 4 Skill Tables'!F46=1,"Words in Context",IF('PT 4 Skill Tables'!G46=1,"Command of Evidence","")),IF(PTKEY=6,IF('PT 5 Skill Tables'!F46=1,"Words in Context",IF('PT 5 Skill Tables'!G46=1,"Command of Evidence","")),IF(PTKEY=7,IF('PT 6 Skill Tables'!F46=1,"Words in Context",IF('PT 6 Skill Tables'!G46=1,"Command of Evidence",""))))))))</f>
        <v/>
      </c>
    </row>
    <row r="45" spans="1:7" ht="20.25" customHeight="1">
      <c r="A45" s="119">
        <v>43</v>
      </c>
      <c r="B45" s="120" t="str">
        <f>IF(Input!C52=""," ", Input!C52)</f>
        <v xml:space="preserve"> </v>
      </c>
      <c r="C45" s="119" t="str">
        <f>IF(PTKEY=2,'PT Answer Tables'!C46,IF(PTKEY=3,'PT Answer Tables'!D46,IF(PTKEY=4,'PT Answer Tables'!E46,IF(PTKEY=5,'PT Answer Tables'!F46,IF(PTKEY=6,'PT Answer Tables'!G46,IF(PTKEY=7,'PT Answer Tables'!H46,0))))))</f>
        <v>a</v>
      </c>
      <c r="D45" s="119" t="str">
        <f>IF(PTKEY=2,'PT 1 Skill Tables'!C47,IF(PTKEY=3,'PT 2 Skill Tables'!C47,IF(PTKEY=4,'PT 3 Skill Tables'!C47,IF(PTKEY=5,'PT 4 Skill Tables'!C47,IF(PTKEY=6,'PT 5 Skill Tables'!C47,IF(PTKEY=7,'PT 6 Skill Tables'!C47,0))))))</f>
        <v>Information and Ideas</v>
      </c>
      <c r="E45" s="119" t="str">
        <f>IF(PTKEY=2,'PT 1 Skill Tables'!D47,IF(PTKEY=3,'PT 2 Skill Tables'!D47,IF(PTKEY=4,'PT 3 Skill Tables'!D47,IF(PTKEY=5,'PT 4 Skill Tables'!D47,IF(PTKEY=6,'PT 5 Skill Tables'!D47,IF(PTKEY=7,'PT 5 Skill Tables'!D47,0))))))</f>
        <v>Reading Closely</v>
      </c>
      <c r="F45" s="120" t="str">
        <f>IF(PTKEY=2,IF('PT 1 Skill Tables'!H47=1,"History",IF('PT 1 Skill Tables'!I47=1,"Science","")),IF(PTKEY=3,IF('PT 2 Skill Tables'!H47=1,"History",IF('PT 2 Skill Tables'!I47=1,"Science","")),IF(PTKEY=4,IF('PT 3 Skill Tables'!H47=1,"History",IF('PT 3 Skill Tables'!I47=1,"Science","")),IF(PTKEY=5,IF('PT 4 Skill Tables'!H47=1,"History",IF('PT 4 Skill Tables'!I47=1,"Science","")),IF(PTKEY=6,IF('PT 5 Skill Tables'!H47=1,"History",IF('PT 5 Skill Tables'!I47=1,"Science","")),IF(PTKEY=7,IF('PT 6 Skill Tables'!H47=1,"History",IF('PT 6 Skill Tables'!I47=1,"Science",""))))))))</f>
        <v>Science</v>
      </c>
      <c r="G45" s="120" t="str">
        <f>IF(PTKEY=2,IF('PT 1 Skill Tables'!F47=1,"Words in Context",IF('PT 1 Skill Tables'!G47=1,"Command of Evidence","")),IF(PTKEY=3,IF('PT 2 Skill Tables'!F47=1,"Words in Context",IF('PT 2 Skill Tables'!G47=1,"Command of Evidence","")),IF(PTKEY=4,IF('PT 3 Skill Tables'!F47=1,"Words in Context",IF('PT 3 Skill Tables'!G47=1,"Command of Evidence","")),IF(PTKEY=5,IF('PT 4 Skill Tables'!F47=1,"Words in Context",IF('PT 4 Skill Tables'!G47=1,"Command of Evidence","")),IF(PTKEY=6,IF('PT 5 Skill Tables'!F47=1,"Words in Context",IF('PT 5 Skill Tables'!G47=1,"Command of Evidence","")),IF(PTKEY=7,IF('PT 6 Skill Tables'!F47=1,"Words in Context",IF('PT 6 Skill Tables'!G47=1,"Command of Evidence",""))))))))</f>
        <v/>
      </c>
    </row>
    <row r="46" spans="1:7" ht="20.25" customHeight="1">
      <c r="A46" s="119">
        <v>44</v>
      </c>
      <c r="B46" s="120" t="str">
        <f>IF(Input!C53=""," ", Input!C53)</f>
        <v xml:space="preserve"> </v>
      </c>
      <c r="C46" s="119" t="str">
        <f>IF(PTKEY=2,'PT Answer Tables'!C47,IF(PTKEY=3,'PT Answer Tables'!D47,IF(PTKEY=4,'PT Answer Tables'!E47,IF(PTKEY=5,'PT Answer Tables'!F47,IF(PTKEY=6,'PT Answer Tables'!G47,IF(PTKEY=7,'PT Answer Tables'!H47,0))))))</f>
        <v>a</v>
      </c>
      <c r="D46" s="119" t="str">
        <f>IF(PTKEY=2,'PT 1 Skill Tables'!C48,IF(PTKEY=3,'PT 2 Skill Tables'!C48,IF(PTKEY=4,'PT 3 Skill Tables'!C48,IF(PTKEY=5,'PT 4 Skill Tables'!C48,IF(PTKEY=6,'PT 5 Skill Tables'!C48,IF(PTKEY=7,'PT 6 Skill Tables'!C48,0))))))</f>
        <v>Information and Ideas</v>
      </c>
      <c r="E46" s="119" t="str">
        <f>IF(PTKEY=2,'PT 1 Skill Tables'!D48,IF(PTKEY=3,'PT 2 Skill Tables'!D48,IF(PTKEY=4,'PT 3 Skill Tables'!D48,IF(PTKEY=5,'PT 4 Skill Tables'!D48,IF(PTKEY=6,'PT 5 Skill Tables'!D48,IF(PTKEY=7,'PT 5 Skill Tables'!D48,0))))))</f>
        <v>Citing Evidence</v>
      </c>
      <c r="F46" s="120" t="str">
        <f>IF(PTKEY=2,IF('PT 1 Skill Tables'!H48=1,"History",IF('PT 1 Skill Tables'!I48=1,"Science","")),IF(PTKEY=3,IF('PT 2 Skill Tables'!H48=1,"History",IF('PT 2 Skill Tables'!I48=1,"Science","")),IF(PTKEY=4,IF('PT 3 Skill Tables'!H48=1,"History",IF('PT 3 Skill Tables'!I48=1,"Science","")),IF(PTKEY=5,IF('PT 4 Skill Tables'!H48=1,"History",IF('PT 4 Skill Tables'!I48=1,"Science","")),IF(PTKEY=6,IF('PT 5 Skill Tables'!H48=1,"History",IF('PT 5 Skill Tables'!I48=1,"Science","")),IF(PTKEY=7,IF('PT 6 Skill Tables'!H48=1,"History",IF('PT 6 Skill Tables'!I48=1,"Science",""))))))))</f>
        <v>Science</v>
      </c>
      <c r="G46" s="120" t="str">
        <f>IF(PTKEY=2,IF('PT 1 Skill Tables'!F48=1,"Words in Context",IF('PT 1 Skill Tables'!G48=1,"Command of Evidence","")),IF(PTKEY=3,IF('PT 2 Skill Tables'!F48=1,"Words in Context",IF('PT 2 Skill Tables'!G48=1,"Command of Evidence","")),IF(PTKEY=4,IF('PT 3 Skill Tables'!F48=1,"Words in Context",IF('PT 3 Skill Tables'!G48=1,"Command of Evidence","")),IF(PTKEY=5,IF('PT 4 Skill Tables'!F48=1,"Words in Context",IF('PT 4 Skill Tables'!G48=1,"Command of Evidence","")),IF(PTKEY=6,IF('PT 5 Skill Tables'!F48=1,"Words in Context",IF('PT 5 Skill Tables'!G48=1,"Command of Evidence","")),IF(PTKEY=7,IF('PT 6 Skill Tables'!F48=1,"Words in Context",IF('PT 6 Skill Tables'!G48=1,"Command of Evidence",""))))))))</f>
        <v/>
      </c>
    </row>
    <row r="47" spans="1:7" ht="20.25" customHeight="1">
      <c r="A47" s="119">
        <v>45</v>
      </c>
      <c r="B47" s="120" t="str">
        <f>IF(Input!C54=""," ", Input!C54)</f>
        <v xml:space="preserve"> </v>
      </c>
      <c r="C47" s="119" t="str">
        <f>IF(PTKEY=2,'PT Answer Tables'!C48,IF(PTKEY=3,'PT Answer Tables'!D48,IF(PTKEY=4,'PT Answer Tables'!E48,IF(PTKEY=5,'PT Answer Tables'!F48,IF(PTKEY=6,'PT Answer Tables'!G48,IF(PTKEY=7,'PT Answer Tables'!H48,0))))))</f>
        <v>d</v>
      </c>
      <c r="D47" s="119" t="str">
        <f>IF(PTKEY=2,'PT 1 Skill Tables'!C49,IF(PTKEY=3,'PT 2 Skill Tables'!C49,IF(PTKEY=4,'PT 3 Skill Tables'!C49,IF(PTKEY=5,'PT 4 Skill Tables'!C49,IF(PTKEY=6,'PT 5 Skill Tables'!C49,IF(PTKEY=7,'PT 6 Skill Tables'!C49,0))))))</f>
        <v>Information and Ideas</v>
      </c>
      <c r="E47" s="119" t="str">
        <f>IF(PTKEY=2,'PT 1 Skill Tables'!D49,IF(PTKEY=3,'PT 2 Skill Tables'!D49,IF(PTKEY=4,'PT 3 Skill Tables'!D49,IF(PTKEY=5,'PT 4 Skill Tables'!D49,IF(PTKEY=6,'PT 5 Skill Tables'!D49,IF(PTKEY=7,'PT 5 Skill Tables'!D49,0))))))</f>
        <v>Interpreting Words and Phrases in Context</v>
      </c>
      <c r="F47" s="120" t="str">
        <f>IF(PTKEY=2,IF('PT 1 Skill Tables'!H49=1,"History",IF('PT 1 Skill Tables'!I49=1,"Science","")),IF(PTKEY=3,IF('PT 2 Skill Tables'!H49=1,"History",IF('PT 2 Skill Tables'!I49=1,"Science","")),IF(PTKEY=4,IF('PT 3 Skill Tables'!H49=1,"History",IF('PT 3 Skill Tables'!I49=1,"Science","")),IF(PTKEY=5,IF('PT 4 Skill Tables'!H49=1,"History",IF('PT 4 Skill Tables'!I49=1,"Science","")),IF(PTKEY=6,IF('PT 5 Skill Tables'!H49=1,"History",IF('PT 5 Skill Tables'!I49=1,"Science","")),IF(PTKEY=7,IF('PT 6 Skill Tables'!H49=1,"History",IF('PT 6 Skill Tables'!I49=1,"Science",""))))))))</f>
        <v>Science</v>
      </c>
      <c r="G47" s="120" t="str">
        <f>IF(PTKEY=2,IF('PT 1 Skill Tables'!F49=1,"Words in Context",IF('PT 1 Skill Tables'!G49=1,"Command of Evidence","")),IF(PTKEY=3,IF('PT 2 Skill Tables'!F49=1,"Words in Context",IF('PT 2 Skill Tables'!G49=1,"Command of Evidence","")),IF(PTKEY=4,IF('PT 3 Skill Tables'!F49=1,"Words in Context",IF('PT 3 Skill Tables'!G49=1,"Command of Evidence","")),IF(PTKEY=5,IF('PT 4 Skill Tables'!F49=1,"Words in Context",IF('PT 4 Skill Tables'!G49=1,"Command of Evidence","")),IF(PTKEY=6,IF('PT 5 Skill Tables'!F49=1,"Words in Context",IF('PT 5 Skill Tables'!G49=1,"Command of Evidence","")),IF(PTKEY=7,IF('PT 6 Skill Tables'!F49=1,"Words in Context",IF('PT 6 Skill Tables'!G49=1,"Command of Evidence",""))))))))</f>
        <v>Words in Context</v>
      </c>
    </row>
    <row r="48" spans="1:7" ht="20.25" customHeight="1">
      <c r="A48" s="119">
        <v>46</v>
      </c>
      <c r="B48" s="120" t="str">
        <f>IF(Input!C55=""," ", Input!C55)</f>
        <v xml:space="preserve"> </v>
      </c>
      <c r="C48" s="119" t="str">
        <f>IF(PTKEY=2,'PT Answer Tables'!C49,IF(PTKEY=3,'PT Answer Tables'!D49,IF(PTKEY=4,'PT Answer Tables'!E49,IF(PTKEY=5,'PT Answer Tables'!F49,IF(PTKEY=6,'PT Answer Tables'!G49,IF(PTKEY=7,'PT Answer Tables'!H49,0))))))</f>
        <v>c</v>
      </c>
      <c r="D48" s="119" t="str">
        <f>IF(PTKEY=2,'PT 1 Skill Tables'!C50,IF(PTKEY=3,'PT 2 Skill Tables'!C50,IF(PTKEY=4,'PT 3 Skill Tables'!C50,IF(PTKEY=5,'PT 4 Skill Tables'!C50,IF(PTKEY=6,'PT 5 Skill Tables'!C50,IF(PTKEY=7,'PT 6 Skill Tables'!C50,0))))))</f>
        <v>Rhetoric</v>
      </c>
      <c r="E48" s="119" t="str">
        <f>IF(PTKEY=2,'PT 1 Skill Tables'!D50,IF(PTKEY=3,'PT 2 Skill Tables'!D50,IF(PTKEY=4,'PT 3 Skill Tables'!D50,IF(PTKEY=5,'PT 4 Skill Tables'!D50,IF(PTKEY=6,'PT 5 Skill Tables'!D50,IF(PTKEY=7,'PT 5 Skill Tables'!D50,0))))))</f>
        <v>Analyzing Text Structure</v>
      </c>
      <c r="F48" s="120" t="str">
        <f>IF(PTKEY=2,IF('PT 1 Skill Tables'!H50=1,"History",IF('PT 1 Skill Tables'!I50=1,"Science","")),IF(PTKEY=3,IF('PT 2 Skill Tables'!H50=1,"History",IF('PT 2 Skill Tables'!I50=1,"Science","")),IF(PTKEY=4,IF('PT 3 Skill Tables'!H50=1,"History",IF('PT 3 Skill Tables'!I50=1,"Science","")),IF(PTKEY=5,IF('PT 4 Skill Tables'!H50=1,"History",IF('PT 4 Skill Tables'!I50=1,"Science","")),IF(PTKEY=6,IF('PT 5 Skill Tables'!H50=1,"History",IF('PT 5 Skill Tables'!I50=1,"Science","")),IF(PTKEY=7,IF('PT 6 Skill Tables'!H50=1,"History",IF('PT 6 Skill Tables'!I50=1,"Science",""))))))))</f>
        <v>Science</v>
      </c>
      <c r="G48" s="120" t="str">
        <f>IF(PTKEY=2,IF('PT 1 Skill Tables'!F50=1,"Words in Context",IF('PT 1 Skill Tables'!G50=1,"Command of Evidence","")),IF(PTKEY=3,IF('PT 2 Skill Tables'!F50=1,"Words in Context",IF('PT 2 Skill Tables'!G50=1,"Command of Evidence","")),IF(PTKEY=4,IF('PT 3 Skill Tables'!F50=1,"Words in Context",IF('PT 3 Skill Tables'!G50=1,"Command of Evidence","")),IF(PTKEY=5,IF('PT 4 Skill Tables'!F50=1,"Words in Context",IF('PT 4 Skill Tables'!G50=1,"Command of Evidence","")),IF(PTKEY=6,IF('PT 5 Skill Tables'!F50=1,"Words in Context",IF('PT 5 Skill Tables'!G50=1,"Command of Evidence","")),IF(PTKEY=7,IF('PT 6 Skill Tables'!F50=1,"Words in Context",IF('PT 6 Skill Tables'!G50=1,"Command of Evidence",""))))))))</f>
        <v/>
      </c>
    </row>
    <row r="49" spans="1:7" ht="20.25" customHeight="1">
      <c r="A49" s="119">
        <v>47</v>
      </c>
      <c r="B49" s="120" t="str">
        <f>IF(Input!C56=""," ", Input!C56)</f>
        <v xml:space="preserve"> </v>
      </c>
      <c r="C49" s="119" t="str">
        <f>IF(PTKEY=2,'PT Answer Tables'!C50,IF(PTKEY=3,'PT Answer Tables'!D50,IF(PTKEY=4,'PT Answer Tables'!E50,IF(PTKEY=5,'PT Answer Tables'!F50,IF(PTKEY=6,'PT Answer Tables'!G50,IF(PTKEY=7,'PT Answer Tables'!H50,0))))))</f>
        <v>b</v>
      </c>
      <c r="D49" s="119" t="str">
        <f>IF(PTKEY=2,'PT 1 Skill Tables'!C51,IF(PTKEY=3,'PT 2 Skill Tables'!C51,IF(PTKEY=4,'PT 3 Skill Tables'!C51,IF(PTKEY=5,'PT 4 Skill Tables'!C51,IF(PTKEY=6,'PT 5 Skill Tables'!C51,IF(PTKEY=7,'PT 6 Skill Tables'!C51,0))))))</f>
        <v>Rhetoric</v>
      </c>
      <c r="E49" s="119" t="str">
        <f>IF(PTKEY=2,'PT 1 Skill Tables'!D51,IF(PTKEY=3,'PT 2 Skill Tables'!D51,IF(PTKEY=4,'PT 3 Skill Tables'!D51,IF(PTKEY=5,'PT 4 Skill Tables'!D51,IF(PTKEY=6,'PT 5 Skill Tables'!D51,IF(PTKEY=7,'PT 5 Skill Tables'!D51,0))))))</f>
        <v>Analyzing Arguments</v>
      </c>
      <c r="F49" s="120" t="str">
        <f>IF(PTKEY=2,IF('PT 1 Skill Tables'!H51=1,"History",IF('PT 1 Skill Tables'!I51=1,"Science","")),IF(PTKEY=3,IF('PT 2 Skill Tables'!H51=1,"History",IF('PT 2 Skill Tables'!I51=1,"Science","")),IF(PTKEY=4,IF('PT 3 Skill Tables'!H51=1,"History",IF('PT 3 Skill Tables'!I51=1,"Science","")),IF(PTKEY=5,IF('PT 4 Skill Tables'!H51=1,"History",IF('PT 4 Skill Tables'!I51=1,"Science","")),IF(PTKEY=6,IF('PT 5 Skill Tables'!H51=1,"History",IF('PT 5 Skill Tables'!I51=1,"Science","")),IF(PTKEY=7,IF('PT 6 Skill Tables'!H51=1,"History",IF('PT 6 Skill Tables'!I51=1,"Science",""))))))))</f>
        <v>Science</v>
      </c>
      <c r="G49" s="120" t="str">
        <f>IF(PTKEY=2,IF('PT 1 Skill Tables'!F51=1,"Words in Context",IF('PT 1 Skill Tables'!G51=1,"Command of Evidence","")),IF(PTKEY=3,IF('PT 2 Skill Tables'!F51=1,"Words in Context",IF('PT 2 Skill Tables'!G51=1,"Command of Evidence","")),IF(PTKEY=4,IF('PT 3 Skill Tables'!F51=1,"Words in Context",IF('PT 3 Skill Tables'!G51=1,"Command of Evidence","")),IF(PTKEY=5,IF('PT 4 Skill Tables'!F51=1,"Words in Context",IF('PT 4 Skill Tables'!G51=1,"Command of Evidence","")),IF(PTKEY=6,IF('PT 5 Skill Tables'!F51=1,"Words in Context",IF('PT 5 Skill Tables'!G51=1,"Command of Evidence","")),IF(PTKEY=7,IF('PT 6 Skill Tables'!F51=1,"Words in Context",IF('PT 6 Skill Tables'!G51=1,"Command of Evidence",""))))))))</f>
        <v/>
      </c>
    </row>
    <row r="50" spans="1:7" ht="20.25" customHeight="1">
      <c r="A50" s="119">
        <v>48</v>
      </c>
      <c r="B50" s="120" t="str">
        <f>IF(Input!C57=""," ", Input!C57)</f>
        <v xml:space="preserve"> </v>
      </c>
      <c r="C50" s="119" t="str">
        <f>IF(PTKEY=2,'PT Answer Tables'!C51,IF(PTKEY=3,'PT Answer Tables'!D51,IF(PTKEY=4,'PT Answer Tables'!E51,IF(PTKEY=5,'PT Answer Tables'!F51,IF(PTKEY=6,'PT Answer Tables'!G51,IF(PTKEY=7,'PT Answer Tables'!H51,0))))))</f>
        <v>a</v>
      </c>
      <c r="D50" s="119" t="str">
        <f>IF(PTKEY=2,'PT 1 Skill Tables'!C52,IF(PTKEY=3,'PT 2 Skill Tables'!C52,IF(PTKEY=4,'PT 3 Skill Tables'!C52,IF(PTKEY=5,'PT 4 Skill Tables'!C52,IF(PTKEY=6,'PT 5 Skill Tables'!C52,IF(PTKEY=7,'PT 6 Skill Tables'!C52,0))))))</f>
        <v>Information and Ideas</v>
      </c>
      <c r="E50" s="119" t="str">
        <f>IF(PTKEY=2,'PT 1 Skill Tables'!D52,IF(PTKEY=3,'PT 2 Skill Tables'!D52,IF(PTKEY=4,'PT 3 Skill Tables'!D52,IF(PTKEY=5,'PT 4 Skill Tables'!D52,IF(PTKEY=6,'PT 5 Skill Tables'!D52,IF(PTKEY=7,'PT 5 Skill Tables'!D52,0))))))</f>
        <v>Interpreting Words and Phrases in Context</v>
      </c>
      <c r="F50" s="120" t="str">
        <f>IF(PTKEY=2,IF('PT 1 Skill Tables'!H52=1,"History",IF('PT 1 Skill Tables'!I52=1,"Science","")),IF(PTKEY=3,IF('PT 2 Skill Tables'!H52=1,"History",IF('PT 2 Skill Tables'!I52=1,"Science","")),IF(PTKEY=4,IF('PT 3 Skill Tables'!H52=1,"History",IF('PT 3 Skill Tables'!I52=1,"Science","")),IF(PTKEY=5,IF('PT 4 Skill Tables'!H52=1,"History",IF('PT 4 Skill Tables'!I52=1,"Science","")),IF(PTKEY=6,IF('PT 5 Skill Tables'!H52=1,"History",IF('PT 5 Skill Tables'!I52=1,"Science","")),IF(PTKEY=7,IF('PT 6 Skill Tables'!H52=1,"History",IF('PT 6 Skill Tables'!I52=1,"Science",""))))))))</f>
        <v>Science</v>
      </c>
      <c r="G50" s="120" t="str">
        <f>IF(PTKEY=2,IF('PT 1 Skill Tables'!F52=1,"Words in Context",IF('PT 1 Skill Tables'!G52=1,"Command of Evidence","")),IF(PTKEY=3,IF('PT 2 Skill Tables'!F52=1,"Words in Context",IF('PT 2 Skill Tables'!G52=1,"Command of Evidence","")),IF(PTKEY=4,IF('PT 3 Skill Tables'!F52=1,"Words in Context",IF('PT 3 Skill Tables'!G52=1,"Command of Evidence","")),IF(PTKEY=5,IF('PT 4 Skill Tables'!F52=1,"Words in Context",IF('PT 4 Skill Tables'!G52=1,"Command of Evidence","")),IF(PTKEY=6,IF('PT 5 Skill Tables'!F52=1,"Words in Context",IF('PT 5 Skill Tables'!G52=1,"Command of Evidence","")),IF(PTKEY=7,IF('PT 6 Skill Tables'!F52=1,"Words in Context",IF('PT 6 Skill Tables'!G52=1,"Command of Evidence",""))))))))</f>
        <v>Words in Context</v>
      </c>
    </row>
    <row r="51" spans="1:7" ht="20.25" customHeight="1">
      <c r="A51" s="119">
        <v>49</v>
      </c>
      <c r="B51" s="120" t="str">
        <f>IF(Input!C58=""," ", Input!C58)</f>
        <v xml:space="preserve"> </v>
      </c>
      <c r="C51" s="119" t="str">
        <f>IF(PTKEY=2,'PT Answer Tables'!C52,IF(PTKEY=3,'PT Answer Tables'!D52,IF(PTKEY=4,'PT Answer Tables'!E52,IF(PTKEY=5,'PT Answer Tables'!F52,IF(PTKEY=6,'PT Answer Tables'!G52,IF(PTKEY=7,'PT Answer Tables'!H52,0))))))</f>
        <v>d</v>
      </c>
      <c r="D51" s="119" t="str">
        <f>IF(PTKEY=2,'PT 1 Skill Tables'!C53,IF(PTKEY=3,'PT 2 Skill Tables'!C53,IF(PTKEY=4,'PT 3 Skill Tables'!C53,IF(PTKEY=5,'PT 4 Skill Tables'!C53,IF(PTKEY=6,'PT 5 Skill Tables'!C53,IF(PTKEY=7,'PT 6 Skill Tables'!C53,0))))))</f>
        <v>Synthesis</v>
      </c>
      <c r="E51" s="119" t="str">
        <f>IF(PTKEY=2,'PT 1 Skill Tables'!D53,IF(PTKEY=3,'PT 2 Skill Tables'!D53,IF(PTKEY=4,'PT 3 Skill Tables'!D53,IF(PTKEY=5,'PT 4 Skill Tables'!D53,IF(PTKEY=6,'PT 5 Skill Tables'!D53,IF(PTKEY=7,'PT 5 Skill Tables'!D53,0))))))</f>
        <v>Analyzing Multiple Texts</v>
      </c>
      <c r="F51" s="120" t="str">
        <f>IF(PTKEY=2,IF('PT 1 Skill Tables'!H53=1,"History",IF('PT 1 Skill Tables'!I53=1,"Science","")),IF(PTKEY=3,IF('PT 2 Skill Tables'!H53=1,"History",IF('PT 2 Skill Tables'!I53=1,"Science","")),IF(PTKEY=4,IF('PT 3 Skill Tables'!H53=1,"History",IF('PT 3 Skill Tables'!I53=1,"Science","")),IF(PTKEY=5,IF('PT 4 Skill Tables'!H53=1,"History",IF('PT 4 Skill Tables'!I53=1,"Science","")),IF(PTKEY=6,IF('PT 5 Skill Tables'!H53=1,"History",IF('PT 5 Skill Tables'!I53=1,"Science","")),IF(PTKEY=7,IF('PT 6 Skill Tables'!H53=1,"History",IF('PT 6 Skill Tables'!I53=1,"Science",""))))))))</f>
        <v>Science</v>
      </c>
      <c r="G51" s="120" t="str">
        <f>IF(PTKEY=2,IF('PT 1 Skill Tables'!F53=1,"Words in Context",IF('PT 1 Skill Tables'!G53=1,"Command of Evidence","")),IF(PTKEY=3,IF('PT 2 Skill Tables'!F53=1,"Words in Context",IF('PT 2 Skill Tables'!G53=1,"Command of Evidence","")),IF(PTKEY=4,IF('PT 3 Skill Tables'!F53=1,"Words in Context",IF('PT 3 Skill Tables'!G53=1,"Command of Evidence","")),IF(PTKEY=5,IF('PT 4 Skill Tables'!F53=1,"Words in Context",IF('PT 4 Skill Tables'!G53=1,"Command of Evidence","")),IF(PTKEY=6,IF('PT 5 Skill Tables'!F53=1,"Words in Context",IF('PT 5 Skill Tables'!G53=1,"Command of Evidence","")),IF(PTKEY=7,IF('PT 6 Skill Tables'!F53=1,"Words in Context",IF('PT 6 Skill Tables'!G53=1,"Command of Evidence",""))))))))</f>
        <v/>
      </c>
    </row>
    <row r="52" spans="1:7" ht="20.25" customHeight="1">
      <c r="A52" s="119">
        <v>50</v>
      </c>
      <c r="B52" s="120" t="str">
        <f>IF(Input!C59=""," ", Input!C59)</f>
        <v xml:space="preserve"> </v>
      </c>
      <c r="C52" s="119" t="str">
        <f>IF(PTKEY=2,'PT Answer Tables'!C53,IF(PTKEY=3,'PT Answer Tables'!D53,IF(PTKEY=4,'PT Answer Tables'!E53,IF(PTKEY=5,'PT Answer Tables'!F53,IF(PTKEY=6,'PT Answer Tables'!G53,IF(PTKEY=7,'PT Answer Tables'!H53,0))))))</f>
        <v>b</v>
      </c>
      <c r="D52" s="119" t="str">
        <f>IF(PTKEY=2,'PT 1 Skill Tables'!C54,IF(PTKEY=3,'PT 2 Skill Tables'!C54,IF(PTKEY=4,'PT 3 Skill Tables'!C54,IF(PTKEY=5,'PT 4 Skill Tables'!C54,IF(PTKEY=6,'PT 5 Skill Tables'!C54,IF(PTKEY=7,'PT 6 Skill Tables'!C54,0))))))</f>
        <v>Synthesis</v>
      </c>
      <c r="E52" s="119" t="str">
        <f>IF(PTKEY=2,'PT 1 Skill Tables'!D54,IF(PTKEY=3,'PT 2 Skill Tables'!D54,IF(PTKEY=4,'PT 3 Skill Tables'!D54,IF(PTKEY=5,'PT 4 Skill Tables'!D54,IF(PTKEY=6,'PT 5 Skill Tables'!D54,IF(PTKEY=7,'PT 5 Skill Tables'!D54,0))))))</f>
        <v>Analyzing Multiple Texts</v>
      </c>
      <c r="F52" s="120" t="str">
        <f>IF(PTKEY=2,IF('PT 1 Skill Tables'!H54=1,"History",IF('PT 1 Skill Tables'!I54=1,"Science","")),IF(PTKEY=3,IF('PT 2 Skill Tables'!H54=1,"History",IF('PT 2 Skill Tables'!I54=1,"Science","")),IF(PTKEY=4,IF('PT 3 Skill Tables'!H54=1,"History",IF('PT 3 Skill Tables'!I54=1,"Science","")),IF(PTKEY=5,IF('PT 4 Skill Tables'!H54=1,"History",IF('PT 4 Skill Tables'!I54=1,"Science","")),IF(PTKEY=6,IF('PT 5 Skill Tables'!H54=1,"History",IF('PT 5 Skill Tables'!I54=1,"Science","")),IF(PTKEY=7,IF('PT 6 Skill Tables'!H54=1,"History",IF('PT 6 Skill Tables'!I54=1,"Science",""))))))))</f>
        <v>Science</v>
      </c>
      <c r="G52" s="120" t="str">
        <f>IF(PTKEY=2,IF('PT 1 Skill Tables'!F54=1,"Words in Context",IF('PT 1 Skill Tables'!G54=1,"Command of Evidence","")),IF(PTKEY=3,IF('PT 2 Skill Tables'!F54=1,"Words in Context",IF('PT 2 Skill Tables'!G54=1,"Command of Evidence","")),IF(PTKEY=4,IF('PT 3 Skill Tables'!F54=1,"Words in Context",IF('PT 3 Skill Tables'!G54=1,"Command of Evidence","")),IF(PTKEY=5,IF('PT 4 Skill Tables'!F54=1,"Words in Context",IF('PT 4 Skill Tables'!G54=1,"Command of Evidence","")),IF(PTKEY=6,IF('PT 5 Skill Tables'!F54=1,"Words in Context",IF('PT 5 Skill Tables'!G54=1,"Command of Evidence","")),IF(PTKEY=7,IF('PT 6 Skill Tables'!F54=1,"Words in Context",IF('PT 6 Skill Tables'!G54=1,"Command of Evidence",""))))))))</f>
        <v/>
      </c>
    </row>
    <row r="53" spans="1:7" ht="20.25" customHeight="1">
      <c r="A53" s="119">
        <v>51</v>
      </c>
      <c r="B53" s="120" t="str">
        <f>IF(Input!C60=""," ", Input!C60)</f>
        <v xml:space="preserve"> </v>
      </c>
      <c r="C53" s="119" t="str">
        <f>IF(PTKEY=2,'PT Answer Tables'!C54,IF(PTKEY=3,'PT Answer Tables'!D54,IF(PTKEY=4,'PT Answer Tables'!E54,IF(PTKEY=5,'PT Answer Tables'!F54,IF(PTKEY=6,'PT Answer Tables'!G54,IF(PTKEY=7,'PT Answer Tables'!H54,0))))))</f>
        <v>d</v>
      </c>
      <c r="D53" s="119" t="str">
        <f>IF(PTKEY=2,'PT 1 Skill Tables'!C55,IF(PTKEY=3,'PT 2 Skill Tables'!C55,IF(PTKEY=4,'PT 3 Skill Tables'!C55,IF(PTKEY=5,'PT 4 Skill Tables'!C55,IF(PTKEY=6,'PT 5 Skill Tables'!C55,IF(PTKEY=7,'PT 6 Skill Tables'!C55,0))))))</f>
        <v>Information and Ideas</v>
      </c>
      <c r="E53" s="119" t="str">
        <f>IF(PTKEY=2,'PT 1 Skill Tables'!D55,IF(PTKEY=3,'PT 2 Skill Tables'!D55,IF(PTKEY=4,'PT 3 Skill Tables'!D55,IF(PTKEY=5,'PT 4 Skill Tables'!D55,IF(PTKEY=6,'PT 5 Skill Tables'!D55,IF(PTKEY=7,'PT 5 Skill Tables'!D55,0))))))</f>
        <v>Citing Evidence</v>
      </c>
      <c r="F53" s="120" t="str">
        <f>IF(PTKEY=2,IF('PT 1 Skill Tables'!H55=1,"History",IF('PT 1 Skill Tables'!I55=1,"Science","")),IF(PTKEY=3,IF('PT 2 Skill Tables'!H55=1,"History",IF('PT 2 Skill Tables'!I55=1,"Science","")),IF(PTKEY=4,IF('PT 3 Skill Tables'!H55=1,"History",IF('PT 3 Skill Tables'!I55=1,"Science","")),IF(PTKEY=5,IF('PT 4 Skill Tables'!H55=1,"History",IF('PT 4 Skill Tables'!I55=1,"Science","")),IF(PTKEY=6,IF('PT 5 Skill Tables'!H55=1,"History",IF('PT 5 Skill Tables'!I55=1,"Science","")),IF(PTKEY=7,IF('PT 6 Skill Tables'!H55=1,"History",IF('PT 6 Skill Tables'!I55=1,"Science",""))))))))</f>
        <v>Science</v>
      </c>
      <c r="G53" s="120" t="str">
        <f>IF(PTKEY=2,IF('PT 1 Skill Tables'!F55=1,"Words in Context",IF('PT 1 Skill Tables'!G55=1,"Command of Evidence","")),IF(PTKEY=3,IF('PT 2 Skill Tables'!F55=1,"Words in Context",IF('PT 2 Skill Tables'!G55=1,"Command of Evidence","")),IF(PTKEY=4,IF('PT 3 Skill Tables'!F55=1,"Words in Context",IF('PT 3 Skill Tables'!G55=1,"Command of Evidence","")),IF(PTKEY=5,IF('PT 4 Skill Tables'!F55=1,"Words in Context",IF('PT 4 Skill Tables'!G55=1,"Command of Evidence","")),IF(PTKEY=6,IF('PT 5 Skill Tables'!F55=1,"Words in Context",IF('PT 5 Skill Tables'!G55=1,"Command of Evidence","")),IF(PTKEY=7,IF('PT 6 Skill Tables'!F55=1,"Words in Context",IF('PT 6 Skill Tables'!G55=1,"Command of Evidence",""))))))))</f>
        <v/>
      </c>
    </row>
    <row r="54" spans="1:7" ht="20.25" customHeight="1">
      <c r="A54" s="119">
        <v>52</v>
      </c>
      <c r="B54" s="120" t="str">
        <f>IF(Input!C61=""," ", Input!C61)</f>
        <v xml:space="preserve"> </v>
      </c>
      <c r="C54" s="119" t="str">
        <f>IF(PTKEY=2,'PT Answer Tables'!C55,IF(PTKEY=3,'PT Answer Tables'!D55,IF(PTKEY=4,'PT Answer Tables'!E55,IF(PTKEY=5,'PT Answer Tables'!F55,IF(PTKEY=6,'PT Answer Tables'!G55,IF(PTKEY=7,'PT Answer Tables'!H55,0))))))</f>
        <v>a</v>
      </c>
      <c r="D54" s="119" t="str">
        <f>IF(PTKEY=2,'PT 1 Skill Tables'!C56,IF(PTKEY=3,'PT 2 Skill Tables'!C56,IF(PTKEY=4,'PT 3 Skill Tables'!C56,IF(PTKEY=5,'PT 4 Skill Tables'!C56,IF(PTKEY=6,'PT 5 Skill Tables'!C56,IF(PTKEY=7,'PT 6 Skill Tables'!C56,0))))))</f>
        <v>Synthesis</v>
      </c>
      <c r="E54" s="119" t="str">
        <f>IF(PTKEY=2,'PT 1 Skill Tables'!D56,IF(PTKEY=3,'PT 2 Skill Tables'!D56,IF(PTKEY=4,'PT 3 Skill Tables'!D56,IF(PTKEY=5,'PT 4 Skill Tables'!D56,IF(PTKEY=6,'PT 5 Skill Tables'!D56,IF(PTKEY=7,'PT 5 Skill Tables'!D56,0))))))</f>
        <v>Analyzing Multiple Texts</v>
      </c>
      <c r="F54" s="120" t="str">
        <f>IF(PTKEY=2,IF('PT 1 Skill Tables'!H56=1,"History",IF('PT 1 Skill Tables'!I56=1,"Science","")),IF(PTKEY=3,IF('PT 2 Skill Tables'!H56=1,"History",IF('PT 2 Skill Tables'!I56=1,"Science","")),IF(PTKEY=4,IF('PT 3 Skill Tables'!H56=1,"History",IF('PT 3 Skill Tables'!I56=1,"Science","")),IF(PTKEY=5,IF('PT 4 Skill Tables'!H56=1,"History",IF('PT 4 Skill Tables'!I56=1,"Science","")),IF(PTKEY=6,IF('PT 5 Skill Tables'!H56=1,"History",IF('PT 5 Skill Tables'!I56=1,"Science","")),IF(PTKEY=7,IF('PT 6 Skill Tables'!H56=1,"History",IF('PT 6 Skill Tables'!I56=1,"Science",""))))))))</f>
        <v>Science</v>
      </c>
      <c r="G54" s="120" t="str">
        <f>IF(PTKEY=2,IF('PT 1 Skill Tables'!F56=1,"Words in Context",IF('PT 1 Skill Tables'!G56=1,"Command of Evidence","")),IF(PTKEY=3,IF('PT 2 Skill Tables'!F56=1,"Words in Context",IF('PT 2 Skill Tables'!G56=1,"Command of Evidence","")),IF(PTKEY=4,IF('PT 3 Skill Tables'!F56=1,"Words in Context",IF('PT 3 Skill Tables'!G56=1,"Command of Evidence","")),IF(PTKEY=5,IF('PT 4 Skill Tables'!F56=1,"Words in Context",IF('PT 4 Skill Tables'!G56=1,"Command of Evidence","")),IF(PTKEY=6,IF('PT 5 Skill Tables'!F56=1,"Words in Context",IF('PT 5 Skill Tables'!G56=1,"Command of Evidence","")),IF(PTKEY=7,IF('PT 6 Skill Tables'!F56=1,"Words in Context",IF('PT 6 Skill Tables'!G56=1,"Command of Evidence",""))))))))</f>
        <v/>
      </c>
    </row>
    <row r="55" spans="1:7" s="75" customFormat="1" ht="28.5">
      <c r="A55" s="313" t="s">
        <v>130</v>
      </c>
      <c r="B55" s="313"/>
      <c r="C55" s="313"/>
      <c r="D55" s="313"/>
      <c r="E55" s="106"/>
    </row>
    <row r="56" spans="1:7" ht="33.75" customHeight="1">
      <c r="A56" s="121" t="s">
        <v>19</v>
      </c>
      <c r="B56" s="122" t="s">
        <v>128</v>
      </c>
      <c r="C56" s="122" t="s">
        <v>129</v>
      </c>
      <c r="D56" s="122" t="s">
        <v>118</v>
      </c>
      <c r="E56" s="123" t="s">
        <v>119</v>
      </c>
      <c r="F56" s="122" t="s">
        <v>151</v>
      </c>
      <c r="G56" s="122" t="s">
        <v>150</v>
      </c>
    </row>
    <row r="57" spans="1:7" ht="31.5" customHeight="1">
      <c r="A57" s="119">
        <v>1</v>
      </c>
      <c r="B57" s="119" t="str">
        <f>IF(Input!E10=""," ",Input!E10)</f>
        <v xml:space="preserve"> </v>
      </c>
      <c r="C57" s="119" t="str">
        <f>IF(PTKEY=2,'PT Answer Tables'!K4,IF(PTKEY=3,'PT Answer Tables'!L4, IF(PTKEY=4, 'PT Answer Tables'!M4, IF(PTKEY=5, 'PT Answer Tables'!N4, IF(PTKEY=6, 'PT Answer Tables'!O4,  IF(PTKEY=7, 'PT Answer Tables'!P4, 0))))))</f>
        <v>d</v>
      </c>
      <c r="D57" s="119" t="str">
        <f>IF(PTKEY=2,'PT 1 Skill Tables'!L5,IF(PTKEY=3,'PT 2 Skill Tables'!L5,IF(PTKEY=4,'PT 3 Skill Tables'!L5,IF(PTKEY=5,'PT 4 Skill Tables'!L5,IF(PTKEY=6,'PT 5 Skill Tables'!L5,IF(PTKEY=7,'PT 6 Skill Tables'!L5,0))))))</f>
        <v>Expression of Ideas</v>
      </c>
      <c r="E57" s="119" t="str">
        <f>IF(PTKEY=2,'PT 1 Skill Tables'!M5,IF(PTKEY=3,'PT 2 Skill Tables'!M5,IF(PTKEY=4,'PT 3 Skill Tables'!M5,IF(PTKEY=5,'PT 4 Skill Tables'!M5,IF(PTKEY=6,'PT 5 Skill Tables'!M5,IF(PTKEY=7,'PT 6 Skill Tables'!M5,0))))))</f>
        <v>Effective Language Use</v>
      </c>
      <c r="F57" s="120" t="str">
        <f>IF(PTKEY=2,IF('PT 1 Skill Tables'!Q5=1,"History",IF('PT 1 Skill Tables'!R5=1,"Science","")),IF(PTKEY=3,IF('PT 2 Skill Tables'!Q5=1,"History",IF('PT 2 Skill Tables'!R5=1,"Science","")),IF(PTKEY=4,IF('PT 3 Skill Tables'!Q5=1,"History",IF('PT 3 Skill Tables'!R5=1,"Science","")),IF(PTKEY=5,IF('PT 4 Skill Tables'!Q5=1,"History",IF('PT 4 Skill Tables'!R5=1,"Science","")),IF(PTKEY=6,IF('PT 5 Skill Tables'!Q5=1,"History",IF('PT 5 Skill Tables'!R5=1,"Science","")),IF(PTKEY=7,IF('PT 6 Skill Tables'!Q5=1,"History",IF('PT 6 Skill Tables'!R5=1,"Science",""))))))))</f>
        <v>History</v>
      </c>
      <c r="G57" s="120" t="str">
        <f>IF(PTKEY=2,IF('PT 1 Skill Tables'!O5=1,"Words in Context",IF('PT 1 Skill Tables'!P5=1,"Command of Evidence","")),IF(PTKEY=3,IF('PT 2 Skill Tables'!O5=1,"Words in Context",IF('PT 2 Skill Tables'!P5=1,"Command of Evidence","")),IF(PTKEY=4,IF('PT 3 Skill Tables'!O5=1,"Words in Context",IF('PT 3 Skill Tables'!P5=1,"Command of Evidence","")),IF(PTKEY=5,IF('PT 4 Skill Tables'!O5=1,"Words in Context",IF('PT 4 Skill Tables'!P5=1,"Command of Evidence","")),IF(PTKEY=6,IF('PT 5 Skill Tables'!O5=1,"Words in Context",IF('PT 5 Skill Tables'!P5=1,"Command of Evidence","")),IF(PTKEY=7,IF('PT 6 Skill Tables'!O5=1,"Words in Context",IF('PT 6 Skill Tables'!P5=1,"Command of Evidence",""))))))))</f>
        <v>Words in Context</v>
      </c>
    </row>
    <row r="58" spans="1:7" ht="31.5" customHeight="1">
      <c r="A58" s="119">
        <v>2</v>
      </c>
      <c r="B58" s="119" t="str">
        <f>IF(Input!E11=""," ",Input!E11)</f>
        <v xml:space="preserve"> </v>
      </c>
      <c r="C58" s="119" t="str">
        <f>IF(PTKEY=2,'PT Answer Tables'!K5,IF(PTKEY=3,'PT Answer Tables'!L5, IF(PTKEY=4, 'PT Answer Tables'!M5, IF(PTKEY=5, 'PT Answer Tables'!N5, IF(PTKEY=6, 'PT Answer Tables'!O5,  IF(PTKEY=7, 'PT Answer Tables'!P5, 0))))))</f>
        <v>b</v>
      </c>
      <c r="D58" s="119" t="str">
        <f>IF(PTKEY=2,'PT 1 Skill Tables'!L6,IF(PTKEY=3,'PT 2 Skill Tables'!L6,IF(PTKEY=4,'PT 3 Skill Tables'!L6,IF(PTKEY=5,'PT 4 Skill Tables'!L6,IF(PTKEY=6,'PT 5 Skill Tables'!L6,IF(PTKEY=7,'PT 6 Skill Tables'!L6,0))))))</f>
        <v>Expression of Ideas</v>
      </c>
      <c r="E58" s="119" t="str">
        <f>IF(PTKEY=2,'PT 1 Skill Tables'!M6,IF(PTKEY=3,'PT 2 Skill Tables'!M6,IF(PTKEY=4,'PT 3 Skill Tables'!M6,IF(PTKEY=5,'PT 4 Skill Tables'!M6,IF(PTKEY=6,'PT 5 Skill Tables'!M6,IF(PTKEY=7,'PT 6 Skill Tables'!M6,0))))))</f>
        <v>Development</v>
      </c>
      <c r="F58" s="120" t="str">
        <f>IF(PTKEY=2,IF('PT 1 Skill Tables'!Q6=1,"History",IF('PT 1 Skill Tables'!R6=1,"Science","")),IF(PTKEY=3,IF('PT 2 Skill Tables'!Q6=1,"History",IF('PT 2 Skill Tables'!R6=1,"Science","")),IF(PTKEY=4,IF('PT 3 Skill Tables'!Q6=1,"History",IF('PT 3 Skill Tables'!R6=1,"Science","")),IF(PTKEY=5,IF('PT 4 Skill Tables'!Q6=1,"History",IF('PT 4 Skill Tables'!R6=1,"Science","")),IF(PTKEY=6,IF('PT 5 Skill Tables'!Q6=1,"History",IF('PT 5 Skill Tables'!R6=1,"Science","")),IF(PTKEY=7,IF('PT 6 Skill Tables'!Q6=1,"History",IF('PT 6 Skill Tables'!R6=1,"Science",""))))))))</f>
        <v>History</v>
      </c>
      <c r="G58" s="120" t="str">
        <f>IF(PTKEY=2,IF('PT 1 Skill Tables'!O6=1,"Words in Context",IF('PT 1 Skill Tables'!P6=1,"Command of Evidence","")),IF(PTKEY=3,IF('PT 2 Skill Tables'!O6=1,"Words in Context",IF('PT 2 Skill Tables'!P6=1,"Command of Evidence","")),IF(PTKEY=4,IF('PT 3 Skill Tables'!O6=1,"Words in Context",IF('PT 3 Skill Tables'!P6=1,"Command of Evidence","")),IF(PTKEY=5,IF('PT 4 Skill Tables'!O6=1,"Words in Context",IF('PT 4 Skill Tables'!P6=1,"Command of Evidence","")),IF(PTKEY=6,IF('PT 5 Skill Tables'!O6=1,"Words in Context",IF('PT 5 Skill Tables'!P6=1,"Command of Evidence","")),IF(PTKEY=7,IF('PT 6 Skill Tables'!O6=1,"Words in Context",IF('PT 6 Skill Tables'!P6=1,"Command of Evidence",""))))))))</f>
        <v>Command of Evidence</v>
      </c>
    </row>
    <row r="59" spans="1:7" ht="31.5" customHeight="1">
      <c r="A59" s="119">
        <v>3</v>
      </c>
      <c r="B59" s="119" t="str">
        <f>IF(Input!E12=""," ",Input!E12)</f>
        <v xml:space="preserve"> </v>
      </c>
      <c r="C59" s="119" t="str">
        <f>IF(PTKEY=2,'PT Answer Tables'!K6,IF(PTKEY=3,'PT Answer Tables'!L6, IF(PTKEY=4, 'PT Answer Tables'!M6, IF(PTKEY=5, 'PT Answer Tables'!N6, IF(PTKEY=6, 'PT Answer Tables'!O6,  IF(PTKEY=7, 'PT Answer Tables'!P6, 0))))))</f>
        <v>a</v>
      </c>
      <c r="D59" s="119" t="str">
        <f>IF(PTKEY=2,'PT 1 Skill Tables'!L7,IF(PTKEY=3,'PT 2 Skill Tables'!L7,IF(PTKEY=4,'PT 3 Skill Tables'!L7,IF(PTKEY=5,'PT 4 Skill Tables'!L7,IF(PTKEY=6,'PT 5 Skill Tables'!L7,IF(PTKEY=7,'PT 6 Skill Tables'!L7,0))))))</f>
        <v>Standard English Conventions</v>
      </c>
      <c r="E59" s="119" t="str">
        <f>IF(PTKEY=2,'PT 1 Skill Tables'!M7,IF(PTKEY=3,'PT 2 Skill Tables'!M7,IF(PTKEY=4,'PT 3 Skill Tables'!M7,IF(PTKEY=5,'PT 4 Skill Tables'!M7,IF(PTKEY=6,'PT 5 Skill Tables'!M7,IF(PTKEY=7,'PT 6 Skill Tables'!M7,0))))))</f>
        <v>Sentence Structure</v>
      </c>
      <c r="F59" s="120" t="str">
        <f>IF(PTKEY=2,IF('PT 1 Skill Tables'!Q7=1,"History",IF('PT 1 Skill Tables'!R7=1,"Science","")),IF(PTKEY=3,IF('PT 2 Skill Tables'!Q7=1,"History",IF('PT 2 Skill Tables'!R7=1,"Science","")),IF(PTKEY=4,IF('PT 3 Skill Tables'!Q7=1,"History",IF('PT 3 Skill Tables'!R7=1,"Science","")),IF(PTKEY=5,IF('PT 4 Skill Tables'!Q7=1,"History",IF('PT 4 Skill Tables'!R7=1,"Science","")),IF(PTKEY=6,IF('PT 5 Skill Tables'!Q7=1,"History",IF('PT 5 Skill Tables'!R7=1,"Science","")),IF(PTKEY=7,IF('PT 6 Skill Tables'!Q7=1,"History",IF('PT 6 Skill Tables'!R7=1,"Science",""))))))))</f>
        <v/>
      </c>
      <c r="G59" s="120" t="str">
        <f>IF(PTKEY=2,IF('PT 1 Skill Tables'!O7=1,"Words in Context",IF('PT 1 Skill Tables'!P7=1,"Command of Evidence","")),IF(PTKEY=3,IF('PT 2 Skill Tables'!O7=1,"Words in Context",IF('PT 2 Skill Tables'!P7=1,"Command of Evidence","")),IF(PTKEY=4,IF('PT 3 Skill Tables'!O7=1,"Words in Context",IF('PT 3 Skill Tables'!P7=1,"Command of Evidence","")),IF(PTKEY=5,IF('PT 4 Skill Tables'!O7=1,"Words in Context",IF('PT 4 Skill Tables'!P7=1,"Command of Evidence","")),IF(PTKEY=6,IF('PT 5 Skill Tables'!O7=1,"Words in Context",IF('PT 5 Skill Tables'!P7=1,"Command of Evidence","")),IF(PTKEY=7,IF('PT 6 Skill Tables'!O7=1,"Words in Context",IF('PT 6 Skill Tables'!P7=1,"Command of Evidence",""))))))))</f>
        <v/>
      </c>
    </row>
    <row r="60" spans="1:7" ht="31.5" customHeight="1">
      <c r="A60" s="119">
        <v>4</v>
      </c>
      <c r="B60" s="119" t="str">
        <f>IF(Input!E13=""," ",Input!E13)</f>
        <v xml:space="preserve"> </v>
      </c>
      <c r="C60" s="119" t="str">
        <f>IF(PTKEY=2,'PT Answer Tables'!K7,IF(PTKEY=3,'PT Answer Tables'!L7, IF(PTKEY=4, 'PT Answer Tables'!M7, IF(PTKEY=5, 'PT Answer Tables'!N7, IF(PTKEY=6, 'PT Answer Tables'!O7,  IF(PTKEY=7, 'PT Answer Tables'!P7, 0))))))</f>
        <v>c</v>
      </c>
      <c r="D60" s="119" t="str">
        <f>IF(PTKEY=2,'PT 1 Skill Tables'!L8,IF(PTKEY=3,'PT 2 Skill Tables'!L8,IF(PTKEY=4,'PT 3 Skill Tables'!L8,IF(PTKEY=5,'PT 4 Skill Tables'!L8,IF(PTKEY=6,'PT 5 Skill Tables'!L8,IF(PTKEY=7,'PT 6 Skill Tables'!L8,0))))))</f>
        <v>Standard English Conventions</v>
      </c>
      <c r="E60" s="119" t="str">
        <f>IF(PTKEY=2,'PT 1 Skill Tables'!M8,IF(PTKEY=3,'PT 2 Skill Tables'!M8,IF(PTKEY=4,'PT 3 Skill Tables'!M8,IF(PTKEY=5,'PT 4 Skill Tables'!M8,IF(PTKEY=6,'PT 5 Skill Tables'!M8,IF(PTKEY=7,'PT 6 Skill Tables'!M8,0))))))</f>
        <v>Punctuation</v>
      </c>
      <c r="F60" s="120" t="str">
        <f>IF(PTKEY=2,IF('PT 1 Skill Tables'!Q8=1,"History",IF('PT 1 Skill Tables'!R8=1,"Science","")),IF(PTKEY=3,IF('PT 2 Skill Tables'!Q8=1,"History",IF('PT 2 Skill Tables'!R8=1,"Science","")),IF(PTKEY=4,IF('PT 3 Skill Tables'!Q8=1,"History",IF('PT 3 Skill Tables'!R8=1,"Science","")),IF(PTKEY=5,IF('PT 4 Skill Tables'!Q8=1,"History",IF('PT 4 Skill Tables'!R8=1,"Science","")),IF(PTKEY=6,IF('PT 5 Skill Tables'!Q8=1,"History",IF('PT 5 Skill Tables'!R8=1,"Science","")),IF(PTKEY=7,IF('PT 6 Skill Tables'!Q8=1,"History",IF('PT 6 Skill Tables'!R8=1,"Science",""))))))))</f>
        <v/>
      </c>
      <c r="G60" s="120" t="str">
        <f>IF(PTKEY=2,IF('PT 1 Skill Tables'!O8=1,"Words in Context",IF('PT 1 Skill Tables'!P8=1,"Command of Evidence","")),IF(PTKEY=3,IF('PT 2 Skill Tables'!O8=1,"Words in Context",IF('PT 2 Skill Tables'!P8=1,"Command of Evidence","")),IF(PTKEY=4,IF('PT 3 Skill Tables'!O8=1,"Words in Context",IF('PT 3 Skill Tables'!P8=1,"Command of Evidence","")),IF(PTKEY=5,IF('PT 4 Skill Tables'!O8=1,"Words in Context",IF('PT 4 Skill Tables'!P8=1,"Command of Evidence","")),IF(PTKEY=6,IF('PT 5 Skill Tables'!O8=1,"Words in Context",IF('PT 5 Skill Tables'!P8=1,"Command of Evidence","")),IF(PTKEY=7,IF('PT 6 Skill Tables'!O8=1,"Words in Context",IF('PT 6 Skill Tables'!P8=1,"Command of Evidence",""))))))))</f>
        <v/>
      </c>
    </row>
    <row r="61" spans="1:7" ht="31.5" customHeight="1">
      <c r="A61" s="119">
        <v>5</v>
      </c>
      <c r="B61" s="119" t="str">
        <f>IF(Input!E14=""," ",Input!E14)</f>
        <v xml:space="preserve"> </v>
      </c>
      <c r="C61" s="119" t="str">
        <f>IF(PTKEY=2,'PT Answer Tables'!K8,IF(PTKEY=3,'PT Answer Tables'!L8, IF(PTKEY=4, 'PT Answer Tables'!M8, IF(PTKEY=5, 'PT Answer Tables'!N8, IF(PTKEY=6, 'PT Answer Tables'!O8,  IF(PTKEY=7, 'PT Answer Tables'!P8, 0))))))</f>
        <v>c</v>
      </c>
      <c r="D61" s="119" t="str">
        <f>IF(PTKEY=2,'PT 1 Skill Tables'!L9,IF(PTKEY=3,'PT 2 Skill Tables'!L9,IF(PTKEY=4,'PT 3 Skill Tables'!L9,IF(PTKEY=5,'PT 4 Skill Tables'!L9,IF(PTKEY=6,'PT 5 Skill Tables'!L9,IF(PTKEY=7,'PT 6 Skill Tables'!L9,0))))))</f>
        <v>Expression of Ideas</v>
      </c>
      <c r="E61" s="119" t="str">
        <f>IF(PTKEY=2,'PT 1 Skill Tables'!M9,IF(PTKEY=3,'PT 2 Skill Tables'!M9,IF(PTKEY=4,'PT 3 Skill Tables'!M9,IF(PTKEY=5,'PT 4 Skill Tables'!M9,IF(PTKEY=6,'PT 5 Skill Tables'!M9,IF(PTKEY=7,'PT 6 Skill Tables'!M9,0))))))</f>
        <v>Organization</v>
      </c>
      <c r="F61" s="120" t="str">
        <f>IF(PTKEY=2,IF('PT 1 Skill Tables'!Q9=1,"History",IF('PT 1 Skill Tables'!R9=1,"Science","")),IF(PTKEY=3,IF('PT 2 Skill Tables'!Q9=1,"History",IF('PT 2 Skill Tables'!R9=1,"Science","")),IF(PTKEY=4,IF('PT 3 Skill Tables'!Q9=1,"History",IF('PT 3 Skill Tables'!R9=1,"Science","")),IF(PTKEY=5,IF('PT 4 Skill Tables'!Q9=1,"History",IF('PT 4 Skill Tables'!R9=1,"Science","")),IF(PTKEY=6,IF('PT 5 Skill Tables'!Q9=1,"History",IF('PT 5 Skill Tables'!R9=1,"Science","")),IF(PTKEY=7,IF('PT 6 Skill Tables'!Q9=1,"History",IF('PT 6 Skill Tables'!R9=1,"Science",""))))))))</f>
        <v>History</v>
      </c>
      <c r="G61" s="120" t="str">
        <f>IF(PTKEY=2,IF('PT 1 Skill Tables'!O9=1,"Words in Context",IF('PT 1 Skill Tables'!P9=1,"Command of Evidence","")),IF(PTKEY=3,IF('PT 2 Skill Tables'!O9=1,"Words in Context",IF('PT 2 Skill Tables'!P9=1,"Command of Evidence","")),IF(PTKEY=4,IF('PT 3 Skill Tables'!O9=1,"Words in Context",IF('PT 3 Skill Tables'!P9=1,"Command of Evidence","")),IF(PTKEY=5,IF('PT 4 Skill Tables'!O9=1,"Words in Context",IF('PT 4 Skill Tables'!P9=1,"Command of Evidence","")),IF(PTKEY=6,IF('PT 5 Skill Tables'!O9=1,"Words in Context",IF('PT 5 Skill Tables'!P9=1,"Command of Evidence","")),IF(PTKEY=7,IF('PT 6 Skill Tables'!O9=1,"Words in Context",IF('PT 6 Skill Tables'!P9=1,"Command of Evidence",""))))))))</f>
        <v/>
      </c>
    </row>
    <row r="62" spans="1:7" ht="31.5" customHeight="1">
      <c r="A62" s="119">
        <v>6</v>
      </c>
      <c r="B62" s="119" t="str">
        <f>IF(Input!E15=""," ",Input!E15)</f>
        <v xml:space="preserve"> </v>
      </c>
      <c r="C62" s="119" t="str">
        <f>IF(PTKEY=2,'PT Answer Tables'!K9,IF(PTKEY=3,'PT Answer Tables'!L9, IF(PTKEY=4, 'PT Answer Tables'!M9, IF(PTKEY=5, 'PT Answer Tables'!N9, IF(PTKEY=6, 'PT Answer Tables'!O9,  IF(PTKEY=7, 'PT Answer Tables'!P9, 0))))))</f>
        <v>d</v>
      </c>
      <c r="D62" s="119" t="str">
        <f>IF(PTKEY=2,'PT 1 Skill Tables'!L10,IF(PTKEY=3,'PT 2 Skill Tables'!L10,IF(PTKEY=4,'PT 3 Skill Tables'!L10,IF(PTKEY=5,'PT 4 Skill Tables'!L10,IF(PTKEY=6,'PT 5 Skill Tables'!L10,IF(PTKEY=7,'PT 6 Skill Tables'!L10,0))))))</f>
        <v>Expression of Ideas</v>
      </c>
      <c r="E62" s="119" t="str">
        <f>IF(PTKEY=2,'PT 1 Skill Tables'!M10,IF(PTKEY=3,'PT 2 Skill Tables'!M10,IF(PTKEY=4,'PT 3 Skill Tables'!M10,IF(PTKEY=5,'PT 4 Skill Tables'!M10,IF(PTKEY=6,'PT 5 Skill Tables'!M10,IF(PTKEY=7,'PT 6 Skill Tables'!M10,0))))))</f>
        <v>Development</v>
      </c>
      <c r="F62" s="120" t="str">
        <f>IF(PTKEY=2,IF('PT 1 Skill Tables'!Q10=1,"History",IF('PT 1 Skill Tables'!R10=1,"Science","")),IF(PTKEY=3,IF('PT 2 Skill Tables'!Q10=1,"History",IF('PT 2 Skill Tables'!R10=1,"Science","")),IF(PTKEY=4,IF('PT 3 Skill Tables'!Q10=1,"History",IF('PT 3 Skill Tables'!R10=1,"Science","")),IF(PTKEY=5,IF('PT 4 Skill Tables'!Q10=1,"History",IF('PT 4 Skill Tables'!R10=1,"Science","")),IF(PTKEY=6,IF('PT 5 Skill Tables'!Q10=1,"History",IF('PT 5 Skill Tables'!R10=1,"Science","")),IF(PTKEY=7,IF('PT 6 Skill Tables'!Q10=1,"History",IF('PT 6 Skill Tables'!R10=1,"Science",""))))))))</f>
        <v>History</v>
      </c>
      <c r="G62" s="120" t="str">
        <f>IF(PTKEY=2,IF('PT 1 Skill Tables'!O10=1,"Words in Context",IF('PT 1 Skill Tables'!P10=1,"Command of Evidence","")),IF(PTKEY=3,IF('PT 2 Skill Tables'!O10=1,"Words in Context",IF('PT 2 Skill Tables'!P10=1,"Command of Evidence","")),IF(PTKEY=4,IF('PT 3 Skill Tables'!O10=1,"Words in Context",IF('PT 3 Skill Tables'!P10=1,"Command of Evidence","")),IF(PTKEY=5,IF('PT 4 Skill Tables'!O10=1,"Words in Context",IF('PT 4 Skill Tables'!P10=1,"Command of Evidence","")),IF(PTKEY=6,IF('PT 5 Skill Tables'!O10=1,"Words in Context",IF('PT 5 Skill Tables'!P10=1,"Command of Evidence","")),IF(PTKEY=7,IF('PT 6 Skill Tables'!O10=1,"Words in Context",IF('PT 6 Skill Tables'!P10=1,"Command of Evidence",""))))))))</f>
        <v>Command of Evidence</v>
      </c>
    </row>
    <row r="63" spans="1:7" ht="31.5" customHeight="1">
      <c r="A63" s="119">
        <v>7</v>
      </c>
      <c r="B63" s="119" t="str">
        <f>IF(Input!E16=""," ",Input!E16)</f>
        <v xml:space="preserve"> </v>
      </c>
      <c r="C63" s="119" t="str">
        <f>IF(PTKEY=2,'PT Answer Tables'!K10,IF(PTKEY=3,'PT Answer Tables'!L10, IF(PTKEY=4, 'PT Answer Tables'!M10, IF(PTKEY=5, 'PT Answer Tables'!N10, IF(PTKEY=6, 'PT Answer Tables'!O10,  IF(PTKEY=7, 'PT Answer Tables'!P10, 0))))))</f>
        <v>b</v>
      </c>
      <c r="D63" s="119" t="str">
        <f>IF(PTKEY=2,'PT 1 Skill Tables'!L11,IF(PTKEY=3,'PT 2 Skill Tables'!L11,IF(PTKEY=4,'PT 3 Skill Tables'!L11,IF(PTKEY=5,'PT 4 Skill Tables'!L11,IF(PTKEY=6,'PT 5 Skill Tables'!L11,IF(PTKEY=7,'PT 6 Skill Tables'!L11,0))))))</f>
        <v>Standard English Conventions</v>
      </c>
      <c r="E63" s="119" t="str">
        <f>IF(PTKEY=2,'PT 1 Skill Tables'!M11,IF(PTKEY=3,'PT 2 Skill Tables'!M11,IF(PTKEY=4,'PT 3 Skill Tables'!M11,IF(PTKEY=5,'PT 4 Skill Tables'!M11,IF(PTKEY=6,'PT 5 Skill Tables'!M11,IF(PTKEY=7,'PT 6 Skill Tables'!M11,0))))))</f>
        <v>Conventions of Usage</v>
      </c>
      <c r="F63" s="120" t="str">
        <f>IF(PTKEY=2,IF('PT 1 Skill Tables'!Q11=1,"History",IF('PT 1 Skill Tables'!R11=1,"Science","")),IF(PTKEY=3,IF('PT 2 Skill Tables'!Q11=1,"History",IF('PT 2 Skill Tables'!R11=1,"Science","")),IF(PTKEY=4,IF('PT 3 Skill Tables'!Q11=1,"History",IF('PT 3 Skill Tables'!R11=1,"Science","")),IF(PTKEY=5,IF('PT 4 Skill Tables'!Q11=1,"History",IF('PT 4 Skill Tables'!R11=1,"Science","")),IF(PTKEY=6,IF('PT 5 Skill Tables'!Q11=1,"History",IF('PT 5 Skill Tables'!R11=1,"Science","")),IF(PTKEY=7,IF('PT 6 Skill Tables'!Q11=1,"History",IF('PT 6 Skill Tables'!R11=1,"Science",""))))))))</f>
        <v/>
      </c>
      <c r="G63" s="120" t="str">
        <f>IF(PTKEY=2,IF('PT 1 Skill Tables'!O11=1,"Words in Context",IF('PT 1 Skill Tables'!P11=1,"Command of Evidence","")),IF(PTKEY=3,IF('PT 2 Skill Tables'!O11=1,"Words in Context",IF('PT 2 Skill Tables'!P11=1,"Command of Evidence","")),IF(PTKEY=4,IF('PT 3 Skill Tables'!O11=1,"Words in Context",IF('PT 3 Skill Tables'!P11=1,"Command of Evidence","")),IF(PTKEY=5,IF('PT 4 Skill Tables'!O11=1,"Words in Context",IF('PT 4 Skill Tables'!P11=1,"Command of Evidence","")),IF(PTKEY=6,IF('PT 5 Skill Tables'!O11=1,"Words in Context",IF('PT 5 Skill Tables'!P11=1,"Command of Evidence","")),IF(PTKEY=7,IF('PT 6 Skill Tables'!O11=1,"Words in Context",IF('PT 6 Skill Tables'!P11=1,"Command of Evidence",""))))))))</f>
        <v/>
      </c>
    </row>
    <row r="64" spans="1:7" ht="31.5" customHeight="1">
      <c r="A64" s="119">
        <v>8</v>
      </c>
      <c r="B64" s="119" t="str">
        <f>IF(Input!E17=""," ",Input!E17)</f>
        <v xml:space="preserve"> </v>
      </c>
      <c r="C64" s="119" t="str">
        <f>IF(PTKEY=2,'PT Answer Tables'!K11,IF(PTKEY=3,'PT Answer Tables'!L11, IF(PTKEY=4, 'PT Answer Tables'!M11, IF(PTKEY=5, 'PT Answer Tables'!N11, IF(PTKEY=6, 'PT Answer Tables'!O11,  IF(PTKEY=7, 'PT Answer Tables'!P11, 0))))))</f>
        <v>c</v>
      </c>
      <c r="D64" s="119" t="str">
        <f>IF(PTKEY=2,'PT 1 Skill Tables'!L12,IF(PTKEY=3,'PT 2 Skill Tables'!L12,IF(PTKEY=4,'PT 3 Skill Tables'!L12,IF(PTKEY=5,'PT 4 Skill Tables'!L12,IF(PTKEY=6,'PT 5 Skill Tables'!L12,IF(PTKEY=7,'PT 6 Skill Tables'!L12,0))))))</f>
        <v>Standard English Conventions</v>
      </c>
      <c r="E64" s="119" t="str">
        <f>IF(PTKEY=2,'PT 1 Skill Tables'!M12,IF(PTKEY=3,'PT 2 Skill Tables'!M12,IF(PTKEY=4,'PT 3 Skill Tables'!M12,IF(PTKEY=5,'PT 4 Skill Tables'!M12,IF(PTKEY=6,'PT 5 Skill Tables'!M12,IF(PTKEY=7,'PT 6 Skill Tables'!M12,0))))))</f>
        <v>Sentence Structure</v>
      </c>
      <c r="F64" s="120" t="str">
        <f>IF(PTKEY=2,IF('PT 1 Skill Tables'!Q12=1,"History",IF('PT 1 Skill Tables'!R12=1,"Science","")),IF(PTKEY=3,IF('PT 2 Skill Tables'!Q12=1,"History",IF('PT 2 Skill Tables'!R12=1,"Science","")),IF(PTKEY=4,IF('PT 3 Skill Tables'!Q12=1,"History",IF('PT 3 Skill Tables'!R12=1,"Science","")),IF(PTKEY=5,IF('PT 4 Skill Tables'!Q12=1,"History",IF('PT 4 Skill Tables'!R12=1,"Science","")),IF(PTKEY=6,IF('PT 5 Skill Tables'!Q12=1,"History",IF('PT 5 Skill Tables'!R12=1,"Science","")),IF(PTKEY=7,IF('PT 6 Skill Tables'!Q12=1,"History",IF('PT 6 Skill Tables'!R12=1,"Science",""))))))))</f>
        <v/>
      </c>
      <c r="G64" s="120" t="str">
        <f>IF(PTKEY=2,IF('PT 1 Skill Tables'!O12=1,"Words in Context",IF('PT 1 Skill Tables'!P12=1,"Command of Evidence","")),IF(PTKEY=3,IF('PT 2 Skill Tables'!O12=1,"Words in Context",IF('PT 2 Skill Tables'!P12=1,"Command of Evidence","")),IF(PTKEY=4,IF('PT 3 Skill Tables'!O12=1,"Words in Context",IF('PT 3 Skill Tables'!P12=1,"Command of Evidence","")),IF(PTKEY=5,IF('PT 4 Skill Tables'!O12=1,"Words in Context",IF('PT 4 Skill Tables'!P12=1,"Command of Evidence","")),IF(PTKEY=6,IF('PT 5 Skill Tables'!O12=1,"Words in Context",IF('PT 5 Skill Tables'!P12=1,"Command of Evidence","")),IF(PTKEY=7,IF('PT 6 Skill Tables'!O12=1,"Words in Context",IF('PT 6 Skill Tables'!P12=1,"Command of Evidence",""))))))))</f>
        <v/>
      </c>
    </row>
    <row r="65" spans="1:7" ht="31.5" customHeight="1">
      <c r="A65" s="119">
        <v>9</v>
      </c>
      <c r="B65" s="119" t="str">
        <f>IF(Input!E18=""," ",Input!E18)</f>
        <v xml:space="preserve"> </v>
      </c>
      <c r="C65" s="119" t="str">
        <f>IF(PTKEY=2,'PT Answer Tables'!K12,IF(PTKEY=3,'PT Answer Tables'!L12, IF(PTKEY=4, 'PT Answer Tables'!M12, IF(PTKEY=5, 'PT Answer Tables'!N12, IF(PTKEY=6, 'PT Answer Tables'!O12,  IF(PTKEY=7, 'PT Answer Tables'!P12, 0))))))</f>
        <v>a</v>
      </c>
      <c r="D65" s="119" t="str">
        <f>IF(PTKEY=2,'PT 1 Skill Tables'!L13,IF(PTKEY=3,'PT 2 Skill Tables'!L13,IF(PTKEY=4,'PT 3 Skill Tables'!L13,IF(PTKEY=5,'PT 4 Skill Tables'!L13,IF(PTKEY=6,'PT 5 Skill Tables'!L13,IF(PTKEY=7,'PT 6 Skill Tables'!L13,0))))))</f>
        <v>Expression of Ideas</v>
      </c>
      <c r="E65" s="119" t="str">
        <f>IF(PTKEY=2,'PT 1 Skill Tables'!M13,IF(PTKEY=3,'PT 2 Skill Tables'!M13,IF(PTKEY=4,'PT 3 Skill Tables'!M13,IF(PTKEY=5,'PT 4 Skill Tables'!M13,IF(PTKEY=6,'PT 5 Skill Tables'!M13,IF(PTKEY=7,'PT 6 Skill Tables'!M13,0))))))</f>
        <v>Organization</v>
      </c>
      <c r="F65" s="120" t="str">
        <f>IF(PTKEY=2,IF('PT 1 Skill Tables'!Q13=1,"History",IF('PT 1 Skill Tables'!R13=1,"Science","")),IF(PTKEY=3,IF('PT 2 Skill Tables'!Q13=1,"History",IF('PT 2 Skill Tables'!R13=1,"Science","")),IF(PTKEY=4,IF('PT 3 Skill Tables'!Q13=1,"History",IF('PT 3 Skill Tables'!R13=1,"Science","")),IF(PTKEY=5,IF('PT 4 Skill Tables'!Q13=1,"History",IF('PT 4 Skill Tables'!R13=1,"Science","")),IF(PTKEY=6,IF('PT 5 Skill Tables'!Q13=1,"History",IF('PT 5 Skill Tables'!R13=1,"Science","")),IF(PTKEY=7,IF('PT 6 Skill Tables'!Q13=1,"History",IF('PT 6 Skill Tables'!R13=1,"Science",""))))))))</f>
        <v>History</v>
      </c>
      <c r="G65" s="120" t="str">
        <f>IF(PTKEY=2,IF('PT 1 Skill Tables'!O13=1,"Words in Context",IF('PT 1 Skill Tables'!P13=1,"Command of Evidence","")),IF(PTKEY=3,IF('PT 2 Skill Tables'!O13=1,"Words in Context",IF('PT 2 Skill Tables'!P13=1,"Command of Evidence","")),IF(PTKEY=4,IF('PT 3 Skill Tables'!O13=1,"Words in Context",IF('PT 3 Skill Tables'!P13=1,"Command of Evidence","")),IF(PTKEY=5,IF('PT 4 Skill Tables'!O13=1,"Words in Context",IF('PT 4 Skill Tables'!P13=1,"Command of Evidence","")),IF(PTKEY=6,IF('PT 5 Skill Tables'!O13=1,"Words in Context",IF('PT 5 Skill Tables'!P13=1,"Command of Evidence","")),IF(PTKEY=7,IF('PT 6 Skill Tables'!O13=1,"Words in Context",IF('PT 6 Skill Tables'!P13=1,"Command of Evidence",""))))))))</f>
        <v/>
      </c>
    </row>
    <row r="66" spans="1:7" ht="31.5" customHeight="1">
      <c r="A66" s="119">
        <v>10</v>
      </c>
      <c r="B66" s="119" t="str">
        <f>IF(Input!E19=""," ",Input!E19)</f>
        <v xml:space="preserve"> </v>
      </c>
      <c r="C66" s="119" t="str">
        <f>IF(PTKEY=2,'PT Answer Tables'!K13,IF(PTKEY=3,'PT Answer Tables'!L13, IF(PTKEY=4, 'PT Answer Tables'!M13, IF(PTKEY=5, 'PT Answer Tables'!N13, IF(PTKEY=6, 'PT Answer Tables'!O13,  IF(PTKEY=7, 'PT Answer Tables'!P13, 0))))))</f>
        <v>a</v>
      </c>
      <c r="D66" s="119" t="str">
        <f>IF(PTKEY=2,'PT 1 Skill Tables'!L14,IF(PTKEY=3,'PT 2 Skill Tables'!L14,IF(PTKEY=4,'PT 3 Skill Tables'!L14,IF(PTKEY=5,'PT 4 Skill Tables'!L14,IF(PTKEY=6,'PT 5 Skill Tables'!L14,IF(PTKEY=7,'PT 6 Skill Tables'!L14,0))))))</f>
        <v>Expression of Ideas</v>
      </c>
      <c r="E66" s="119" t="str">
        <f>IF(PTKEY=2,'PT 1 Skill Tables'!M14,IF(PTKEY=3,'PT 2 Skill Tables'!M14,IF(PTKEY=4,'PT 3 Skill Tables'!M14,IF(PTKEY=5,'PT 4 Skill Tables'!M14,IF(PTKEY=6,'PT 5 Skill Tables'!M14,IF(PTKEY=7,'PT 6 Skill Tables'!M14,0))))))</f>
        <v>Effective Language Use</v>
      </c>
      <c r="F66" s="120" t="str">
        <f>IF(PTKEY=2,IF('PT 1 Skill Tables'!Q14=1,"History",IF('PT 1 Skill Tables'!R14=1,"Science","")),IF(PTKEY=3,IF('PT 2 Skill Tables'!Q14=1,"History",IF('PT 2 Skill Tables'!R14=1,"Science","")),IF(PTKEY=4,IF('PT 3 Skill Tables'!Q14=1,"History",IF('PT 3 Skill Tables'!R14=1,"Science","")),IF(PTKEY=5,IF('PT 4 Skill Tables'!Q14=1,"History",IF('PT 4 Skill Tables'!R14=1,"Science","")),IF(PTKEY=6,IF('PT 5 Skill Tables'!Q14=1,"History",IF('PT 5 Skill Tables'!R14=1,"Science","")),IF(PTKEY=7,IF('PT 6 Skill Tables'!Q14=1,"History",IF('PT 6 Skill Tables'!R14=1,"Science",""))))))))</f>
        <v>History</v>
      </c>
      <c r="G66" s="120" t="str">
        <f>IF(PTKEY=2,IF('PT 1 Skill Tables'!O14=1,"Words in Context",IF('PT 1 Skill Tables'!P14=1,"Command of Evidence","")),IF(PTKEY=3,IF('PT 2 Skill Tables'!O14=1,"Words in Context",IF('PT 2 Skill Tables'!P14=1,"Command of Evidence","")),IF(PTKEY=4,IF('PT 3 Skill Tables'!O14=1,"Words in Context",IF('PT 3 Skill Tables'!P14=1,"Command of Evidence","")),IF(PTKEY=5,IF('PT 4 Skill Tables'!O14=1,"Words in Context",IF('PT 4 Skill Tables'!P14=1,"Command of Evidence","")),IF(PTKEY=6,IF('PT 5 Skill Tables'!O14=1,"Words in Context",IF('PT 5 Skill Tables'!P14=1,"Command of Evidence","")),IF(PTKEY=7,IF('PT 6 Skill Tables'!O14=1,"Words in Context",IF('PT 6 Skill Tables'!P14=1,"Command of Evidence",""))))))))</f>
        <v>Words in Context</v>
      </c>
    </row>
    <row r="67" spans="1:7" ht="31.5" customHeight="1">
      <c r="A67" s="119">
        <v>11</v>
      </c>
      <c r="B67" s="119" t="str">
        <f>IF(Input!E20=""," ",Input!E20)</f>
        <v xml:space="preserve"> </v>
      </c>
      <c r="C67" s="119" t="str">
        <f>IF(PTKEY=2,'PT Answer Tables'!K14,IF(PTKEY=3,'PT Answer Tables'!L14, IF(PTKEY=4, 'PT Answer Tables'!M14, IF(PTKEY=5, 'PT Answer Tables'!N14, IF(PTKEY=6, 'PT Answer Tables'!O14,  IF(PTKEY=7, 'PT Answer Tables'!P14, 0))))))</f>
        <v>b</v>
      </c>
      <c r="D67" s="119" t="str">
        <f>IF(PTKEY=2,'PT 1 Skill Tables'!L15,IF(PTKEY=3,'PT 2 Skill Tables'!L15,IF(PTKEY=4,'PT 3 Skill Tables'!L15,IF(PTKEY=5,'PT 4 Skill Tables'!L15,IF(PTKEY=6,'PT 5 Skill Tables'!L15,IF(PTKEY=7,'PT 6 Skill Tables'!L15,0))))))</f>
        <v>Standard English Conventions</v>
      </c>
      <c r="E67" s="119" t="str">
        <f>IF(PTKEY=2,'PT 1 Skill Tables'!M15,IF(PTKEY=3,'PT 2 Skill Tables'!M15,IF(PTKEY=4,'PT 3 Skill Tables'!M15,IF(PTKEY=5,'PT 4 Skill Tables'!M15,IF(PTKEY=6,'PT 5 Skill Tables'!M15,IF(PTKEY=7,'PT 6 Skill Tables'!M15,0))))))</f>
        <v>Punctuation</v>
      </c>
      <c r="F67" s="120" t="str">
        <f>IF(PTKEY=2,IF('PT 1 Skill Tables'!Q15=1,"History",IF('PT 1 Skill Tables'!R15=1,"Science","")),IF(PTKEY=3,IF('PT 2 Skill Tables'!Q15=1,"History",IF('PT 2 Skill Tables'!R15=1,"Science","")),IF(PTKEY=4,IF('PT 3 Skill Tables'!Q15=1,"History",IF('PT 3 Skill Tables'!R15=1,"Science","")),IF(PTKEY=5,IF('PT 4 Skill Tables'!Q15=1,"History",IF('PT 4 Skill Tables'!R15=1,"Science","")),IF(PTKEY=6,IF('PT 5 Skill Tables'!Q15=1,"History",IF('PT 5 Skill Tables'!R15=1,"Science","")),IF(PTKEY=7,IF('PT 6 Skill Tables'!Q15=1,"History",IF('PT 6 Skill Tables'!R15=1,"Science",""))))))))</f>
        <v/>
      </c>
      <c r="G67" s="120" t="str">
        <f>IF(PTKEY=2,IF('PT 1 Skill Tables'!O15=1,"Words in Context",IF('PT 1 Skill Tables'!P15=1,"Command of Evidence","")),IF(PTKEY=3,IF('PT 2 Skill Tables'!O15=1,"Words in Context",IF('PT 2 Skill Tables'!P15=1,"Command of Evidence","")),IF(PTKEY=4,IF('PT 3 Skill Tables'!O15=1,"Words in Context",IF('PT 3 Skill Tables'!P15=1,"Command of Evidence","")),IF(PTKEY=5,IF('PT 4 Skill Tables'!O15=1,"Words in Context",IF('PT 4 Skill Tables'!P15=1,"Command of Evidence","")),IF(PTKEY=6,IF('PT 5 Skill Tables'!O15=1,"Words in Context",IF('PT 5 Skill Tables'!P15=1,"Command of Evidence","")),IF(PTKEY=7,IF('PT 6 Skill Tables'!O15=1,"Words in Context",IF('PT 6 Skill Tables'!P15=1,"Command of Evidence",""))))))))</f>
        <v/>
      </c>
    </row>
    <row r="68" spans="1:7" ht="31.5" customHeight="1">
      <c r="A68" s="119">
        <v>12</v>
      </c>
      <c r="B68" s="119" t="str">
        <f>IF(Input!E21=""," ",Input!E21)</f>
        <v xml:space="preserve"> </v>
      </c>
      <c r="C68" s="119" t="str">
        <f>IF(PTKEY=2,'PT Answer Tables'!K15,IF(PTKEY=3,'PT Answer Tables'!L15, IF(PTKEY=4, 'PT Answer Tables'!M15, IF(PTKEY=5, 'PT Answer Tables'!N15, IF(PTKEY=6, 'PT Answer Tables'!O15,  IF(PTKEY=7, 'PT Answer Tables'!P15, 0))))))</f>
        <v>b</v>
      </c>
      <c r="D68" s="119" t="str">
        <f>IF(PTKEY=2,'PT 1 Skill Tables'!L16,IF(PTKEY=3,'PT 2 Skill Tables'!L16,IF(PTKEY=4,'PT 3 Skill Tables'!L16,IF(PTKEY=5,'PT 4 Skill Tables'!L16,IF(PTKEY=6,'PT 5 Skill Tables'!L16,IF(PTKEY=7,'PT 6 Skill Tables'!L16,0))))))</f>
        <v>Expression of Ideas</v>
      </c>
      <c r="E68" s="119" t="str">
        <f>IF(PTKEY=2,'PT 1 Skill Tables'!M16,IF(PTKEY=3,'PT 2 Skill Tables'!M16,IF(PTKEY=4,'PT 3 Skill Tables'!M16,IF(PTKEY=5,'PT 4 Skill Tables'!M16,IF(PTKEY=6,'PT 5 Skill Tables'!M16,IF(PTKEY=7,'PT 6 Skill Tables'!M16,0))))))</f>
        <v>Development</v>
      </c>
      <c r="F68" s="120" t="str">
        <f>IF(PTKEY=2,IF('PT 1 Skill Tables'!Q16=1,"History",IF('PT 1 Skill Tables'!R16=1,"Science","")),IF(PTKEY=3,IF('PT 2 Skill Tables'!Q16=1,"History",IF('PT 2 Skill Tables'!R16=1,"Science","")),IF(PTKEY=4,IF('PT 3 Skill Tables'!Q16=1,"History",IF('PT 3 Skill Tables'!R16=1,"Science","")),IF(PTKEY=5,IF('PT 4 Skill Tables'!Q16=1,"History",IF('PT 4 Skill Tables'!R16=1,"Science","")),IF(PTKEY=6,IF('PT 5 Skill Tables'!Q16=1,"History",IF('PT 5 Skill Tables'!R16=1,"Science","")),IF(PTKEY=7,IF('PT 6 Skill Tables'!Q16=1,"History",IF('PT 6 Skill Tables'!R16=1,"Science",""))))))))</f>
        <v>Science</v>
      </c>
      <c r="G68" s="120" t="str">
        <f>IF(PTKEY=2,IF('PT 1 Skill Tables'!O16=1,"Words in Context",IF('PT 1 Skill Tables'!P16=1,"Command of Evidence","")),IF(PTKEY=3,IF('PT 2 Skill Tables'!O16=1,"Words in Context",IF('PT 2 Skill Tables'!P16=1,"Command of Evidence","")),IF(PTKEY=4,IF('PT 3 Skill Tables'!O16=1,"Words in Context",IF('PT 3 Skill Tables'!P16=1,"Command of Evidence","")),IF(PTKEY=5,IF('PT 4 Skill Tables'!O16=1,"Words in Context",IF('PT 4 Skill Tables'!P16=1,"Command of Evidence","")),IF(PTKEY=6,IF('PT 5 Skill Tables'!O16=1,"Words in Context",IF('PT 5 Skill Tables'!P16=1,"Command of Evidence","")),IF(PTKEY=7,IF('PT 6 Skill Tables'!O16=1,"Words in Context",IF('PT 6 Skill Tables'!P16=1,"Command of Evidence",""))))))))</f>
        <v>Command of Evidence</v>
      </c>
    </row>
    <row r="69" spans="1:7" ht="31.5" customHeight="1">
      <c r="A69" s="119">
        <v>13</v>
      </c>
      <c r="B69" s="119" t="str">
        <f>IF(Input!E22=""," ",Input!E22)</f>
        <v xml:space="preserve"> </v>
      </c>
      <c r="C69" s="119" t="str">
        <f>IF(PTKEY=2,'PT Answer Tables'!K16,IF(PTKEY=3,'PT Answer Tables'!L16, IF(PTKEY=4, 'PT Answer Tables'!M16, IF(PTKEY=5, 'PT Answer Tables'!N16, IF(PTKEY=6, 'PT Answer Tables'!O16,  IF(PTKEY=7, 'PT Answer Tables'!P16, 0))))))</f>
        <v>a</v>
      </c>
      <c r="D69" s="119" t="str">
        <f>IF(PTKEY=2,'PT 1 Skill Tables'!L17,IF(PTKEY=3,'PT 2 Skill Tables'!L17,IF(PTKEY=4,'PT 3 Skill Tables'!L17,IF(PTKEY=5,'PT 4 Skill Tables'!L17,IF(PTKEY=6,'PT 5 Skill Tables'!L17,IF(PTKEY=7,'PT 6 Skill Tables'!L17,0))))))</f>
        <v>Expression of Ideas</v>
      </c>
      <c r="E69" s="119" t="str">
        <f>IF(PTKEY=2,'PT 1 Skill Tables'!M17,IF(PTKEY=3,'PT 2 Skill Tables'!M17,IF(PTKEY=4,'PT 3 Skill Tables'!M17,IF(PTKEY=5,'PT 4 Skill Tables'!M17,IF(PTKEY=6,'PT 5 Skill Tables'!M17,IF(PTKEY=7,'PT 6 Skill Tables'!M17,0))))))</f>
        <v>Effective Language Use</v>
      </c>
      <c r="F69" s="120" t="str">
        <f>IF(PTKEY=2,IF('PT 1 Skill Tables'!Q17=1,"History",IF('PT 1 Skill Tables'!R17=1,"Science","")),IF(PTKEY=3,IF('PT 2 Skill Tables'!Q17=1,"History",IF('PT 2 Skill Tables'!R17=1,"Science","")),IF(PTKEY=4,IF('PT 3 Skill Tables'!Q17=1,"History",IF('PT 3 Skill Tables'!R17=1,"Science","")),IF(PTKEY=5,IF('PT 4 Skill Tables'!Q17=1,"History",IF('PT 4 Skill Tables'!R17=1,"Science","")),IF(PTKEY=6,IF('PT 5 Skill Tables'!Q17=1,"History",IF('PT 5 Skill Tables'!R17=1,"Science","")),IF(PTKEY=7,IF('PT 6 Skill Tables'!Q17=1,"History",IF('PT 6 Skill Tables'!R17=1,"Science",""))))))))</f>
        <v>Science</v>
      </c>
      <c r="G69" s="120" t="str">
        <f>IF(PTKEY=2,IF('PT 1 Skill Tables'!O17=1,"Words in Context",IF('PT 1 Skill Tables'!P17=1,"Command of Evidence","")),IF(PTKEY=3,IF('PT 2 Skill Tables'!O17=1,"Words in Context",IF('PT 2 Skill Tables'!P17=1,"Command of Evidence","")),IF(PTKEY=4,IF('PT 3 Skill Tables'!O17=1,"Words in Context",IF('PT 3 Skill Tables'!P17=1,"Command of Evidence","")),IF(PTKEY=5,IF('PT 4 Skill Tables'!O17=1,"Words in Context",IF('PT 4 Skill Tables'!P17=1,"Command of Evidence","")),IF(PTKEY=6,IF('PT 5 Skill Tables'!O17=1,"Words in Context",IF('PT 5 Skill Tables'!P17=1,"Command of Evidence","")),IF(PTKEY=7,IF('PT 6 Skill Tables'!O17=1,"Words in Context",IF('PT 6 Skill Tables'!P17=1,"Command of Evidence",""))))))))</f>
        <v>Words in Context</v>
      </c>
    </row>
    <row r="70" spans="1:7" ht="31.5" customHeight="1">
      <c r="A70" s="119">
        <v>14</v>
      </c>
      <c r="B70" s="119" t="str">
        <f>IF(Input!E23=""," ",Input!E23)</f>
        <v xml:space="preserve"> </v>
      </c>
      <c r="C70" s="119" t="str">
        <f>IF(PTKEY=2,'PT Answer Tables'!K17,IF(PTKEY=3,'PT Answer Tables'!L17, IF(PTKEY=4, 'PT Answer Tables'!M17, IF(PTKEY=5, 'PT Answer Tables'!N17, IF(PTKEY=6, 'PT Answer Tables'!O17,  IF(PTKEY=7, 'PT Answer Tables'!P17, 0))))))</f>
        <v>b</v>
      </c>
      <c r="D70" s="119" t="str">
        <f>IF(PTKEY=2,'PT 1 Skill Tables'!L18,IF(PTKEY=3,'PT 2 Skill Tables'!L18,IF(PTKEY=4,'PT 3 Skill Tables'!L18,IF(PTKEY=5,'PT 4 Skill Tables'!L18,IF(PTKEY=6,'PT 5 Skill Tables'!L18,IF(PTKEY=7,'PT 6 Skill Tables'!L18,0))))))</f>
        <v>Expression of Ideas</v>
      </c>
      <c r="E70" s="119" t="str">
        <f>IF(PTKEY=2,'PT 1 Skill Tables'!M18,IF(PTKEY=3,'PT 2 Skill Tables'!M18,IF(PTKEY=4,'PT 3 Skill Tables'!M18,IF(PTKEY=5,'PT 4 Skill Tables'!M18,IF(PTKEY=6,'PT 5 Skill Tables'!M18,IF(PTKEY=7,'PT 6 Skill Tables'!M18,0))))))</f>
        <v>Organization</v>
      </c>
      <c r="F70" s="120" t="str">
        <f>IF(PTKEY=2,IF('PT 1 Skill Tables'!Q18=1,"History",IF('PT 1 Skill Tables'!R18=1,"Science","")),IF(PTKEY=3,IF('PT 2 Skill Tables'!Q18=1,"History",IF('PT 2 Skill Tables'!R18=1,"Science","")),IF(PTKEY=4,IF('PT 3 Skill Tables'!Q18=1,"History",IF('PT 3 Skill Tables'!R18=1,"Science","")),IF(PTKEY=5,IF('PT 4 Skill Tables'!Q18=1,"History",IF('PT 4 Skill Tables'!R18=1,"Science","")),IF(PTKEY=6,IF('PT 5 Skill Tables'!Q18=1,"History",IF('PT 5 Skill Tables'!R18=1,"Science","")),IF(PTKEY=7,IF('PT 6 Skill Tables'!Q18=1,"History",IF('PT 6 Skill Tables'!R18=1,"Science",""))))))))</f>
        <v>Science</v>
      </c>
      <c r="G70" s="120" t="str">
        <f>IF(PTKEY=2,IF('PT 1 Skill Tables'!O18=1,"Words in Context",IF('PT 1 Skill Tables'!P18=1,"Command of Evidence","")),IF(PTKEY=3,IF('PT 2 Skill Tables'!O18=1,"Words in Context",IF('PT 2 Skill Tables'!P18=1,"Command of Evidence","")),IF(PTKEY=4,IF('PT 3 Skill Tables'!O18=1,"Words in Context",IF('PT 3 Skill Tables'!P18=1,"Command of Evidence","")),IF(PTKEY=5,IF('PT 4 Skill Tables'!O18=1,"Words in Context",IF('PT 4 Skill Tables'!P18=1,"Command of Evidence","")),IF(PTKEY=6,IF('PT 5 Skill Tables'!O18=1,"Words in Context",IF('PT 5 Skill Tables'!P18=1,"Command of Evidence","")),IF(PTKEY=7,IF('PT 6 Skill Tables'!O18=1,"Words in Context",IF('PT 6 Skill Tables'!P18=1,"Command of Evidence",""))))))))</f>
        <v/>
      </c>
    </row>
    <row r="71" spans="1:7" ht="31.5" customHeight="1">
      <c r="A71" s="119">
        <v>15</v>
      </c>
      <c r="B71" s="119" t="str">
        <f>IF(Input!E24=""," ",Input!E24)</f>
        <v xml:space="preserve"> </v>
      </c>
      <c r="C71" s="119" t="str">
        <f>IF(PTKEY=2,'PT Answer Tables'!K18,IF(PTKEY=3,'PT Answer Tables'!L18, IF(PTKEY=4, 'PT Answer Tables'!M18, IF(PTKEY=5, 'PT Answer Tables'!N18, IF(PTKEY=6, 'PT Answer Tables'!O18,  IF(PTKEY=7, 'PT Answer Tables'!P18, 0))))))</f>
        <v>c</v>
      </c>
      <c r="D71" s="119" t="str">
        <f>IF(PTKEY=2,'PT 1 Skill Tables'!L19,IF(PTKEY=3,'PT 2 Skill Tables'!L19,IF(PTKEY=4,'PT 3 Skill Tables'!L19,IF(PTKEY=5,'PT 4 Skill Tables'!L19,IF(PTKEY=6,'PT 5 Skill Tables'!L19,IF(PTKEY=7,'PT 6 Skill Tables'!L19,0))))))</f>
        <v>Standard English Conventions</v>
      </c>
      <c r="E71" s="119" t="str">
        <f>IF(PTKEY=2,'PT 1 Skill Tables'!M19,IF(PTKEY=3,'PT 2 Skill Tables'!M19,IF(PTKEY=4,'PT 3 Skill Tables'!M19,IF(PTKEY=5,'PT 4 Skill Tables'!M19,IF(PTKEY=6,'PT 5 Skill Tables'!M19,IF(PTKEY=7,'PT 6 Skill Tables'!M19,0))))))</f>
        <v>Punctuation</v>
      </c>
      <c r="F71" s="120" t="str">
        <f>IF(PTKEY=2,IF('PT 1 Skill Tables'!Q19=1,"History",IF('PT 1 Skill Tables'!R19=1,"Science","")),IF(PTKEY=3,IF('PT 2 Skill Tables'!Q19=1,"History",IF('PT 2 Skill Tables'!R19=1,"Science","")),IF(PTKEY=4,IF('PT 3 Skill Tables'!Q19=1,"History",IF('PT 3 Skill Tables'!R19=1,"Science","")),IF(PTKEY=5,IF('PT 4 Skill Tables'!Q19=1,"History",IF('PT 4 Skill Tables'!R19=1,"Science","")),IF(PTKEY=6,IF('PT 5 Skill Tables'!Q19=1,"History",IF('PT 5 Skill Tables'!R19=1,"Science","")),IF(PTKEY=7,IF('PT 6 Skill Tables'!Q19=1,"History",IF('PT 6 Skill Tables'!R19=1,"Science",""))))))))</f>
        <v/>
      </c>
      <c r="G71" s="120" t="str">
        <f>IF(PTKEY=2,IF('PT 1 Skill Tables'!O19=1,"Words in Context",IF('PT 1 Skill Tables'!P19=1,"Command of Evidence","")),IF(PTKEY=3,IF('PT 2 Skill Tables'!O19=1,"Words in Context",IF('PT 2 Skill Tables'!P19=1,"Command of Evidence","")),IF(PTKEY=4,IF('PT 3 Skill Tables'!O19=1,"Words in Context",IF('PT 3 Skill Tables'!P19=1,"Command of Evidence","")),IF(PTKEY=5,IF('PT 4 Skill Tables'!O19=1,"Words in Context",IF('PT 4 Skill Tables'!P19=1,"Command of Evidence","")),IF(PTKEY=6,IF('PT 5 Skill Tables'!O19=1,"Words in Context",IF('PT 5 Skill Tables'!P19=1,"Command of Evidence","")),IF(PTKEY=7,IF('PT 6 Skill Tables'!O19=1,"Words in Context",IF('PT 6 Skill Tables'!P19=1,"Command of Evidence",""))))))))</f>
        <v/>
      </c>
    </row>
    <row r="72" spans="1:7" ht="31.5" customHeight="1">
      <c r="A72" s="119">
        <v>16</v>
      </c>
      <c r="B72" s="119" t="str">
        <f>IF(Input!E25=""," ",Input!E25)</f>
        <v xml:space="preserve"> </v>
      </c>
      <c r="C72" s="119" t="str">
        <f>IF(PTKEY=2,'PT Answer Tables'!K19,IF(PTKEY=3,'PT Answer Tables'!L19, IF(PTKEY=4, 'PT Answer Tables'!M19, IF(PTKEY=5, 'PT Answer Tables'!N19, IF(PTKEY=6, 'PT Answer Tables'!O19,  IF(PTKEY=7, 'PT Answer Tables'!P19, 0))))))</f>
        <v>c</v>
      </c>
      <c r="D72" s="119" t="str">
        <f>IF(PTKEY=2,'PT 1 Skill Tables'!L20,IF(PTKEY=3,'PT 2 Skill Tables'!L20,IF(PTKEY=4,'PT 3 Skill Tables'!L20,IF(PTKEY=5,'PT 4 Skill Tables'!L20,IF(PTKEY=6,'PT 5 Skill Tables'!L20,IF(PTKEY=7,'PT 6 Skill Tables'!L20,0))))))</f>
        <v>Standard English Conventions</v>
      </c>
      <c r="E72" s="119" t="str">
        <f>IF(PTKEY=2,'PT 1 Skill Tables'!M20,IF(PTKEY=3,'PT 2 Skill Tables'!M20,IF(PTKEY=4,'PT 3 Skill Tables'!M20,IF(PTKEY=5,'PT 4 Skill Tables'!M20,IF(PTKEY=6,'PT 5 Skill Tables'!M20,IF(PTKEY=7,'PT 6 Skill Tables'!M20,0))))))</f>
        <v>Punctuation</v>
      </c>
      <c r="F72" s="120" t="str">
        <f>IF(PTKEY=2,IF('PT 1 Skill Tables'!Q20=1,"History",IF('PT 1 Skill Tables'!R20=1,"Science","")),IF(PTKEY=3,IF('PT 2 Skill Tables'!Q20=1,"History",IF('PT 2 Skill Tables'!R20=1,"Science","")),IF(PTKEY=4,IF('PT 3 Skill Tables'!Q20=1,"History",IF('PT 3 Skill Tables'!R20=1,"Science","")),IF(PTKEY=5,IF('PT 4 Skill Tables'!Q20=1,"History",IF('PT 4 Skill Tables'!R20=1,"Science","")),IF(PTKEY=6,IF('PT 5 Skill Tables'!Q20=1,"History",IF('PT 5 Skill Tables'!R20=1,"Science","")),IF(PTKEY=7,IF('PT 6 Skill Tables'!Q20=1,"History",IF('PT 6 Skill Tables'!R20=1,"Science",""))))))))</f>
        <v/>
      </c>
      <c r="G72" s="120" t="str">
        <f>IF(PTKEY=2,IF('PT 1 Skill Tables'!O20=1,"Words in Context",IF('PT 1 Skill Tables'!P20=1,"Command of Evidence","")),IF(PTKEY=3,IF('PT 2 Skill Tables'!O20=1,"Words in Context",IF('PT 2 Skill Tables'!P20=1,"Command of Evidence","")),IF(PTKEY=4,IF('PT 3 Skill Tables'!O20=1,"Words in Context",IF('PT 3 Skill Tables'!P20=1,"Command of Evidence","")),IF(PTKEY=5,IF('PT 4 Skill Tables'!O20=1,"Words in Context",IF('PT 4 Skill Tables'!P20=1,"Command of Evidence","")),IF(PTKEY=6,IF('PT 5 Skill Tables'!O20=1,"Words in Context",IF('PT 5 Skill Tables'!P20=1,"Command of Evidence","")),IF(PTKEY=7,IF('PT 6 Skill Tables'!O20=1,"Words in Context",IF('PT 6 Skill Tables'!P20=1,"Command of Evidence",""))))))))</f>
        <v/>
      </c>
    </row>
    <row r="73" spans="1:7" ht="31.5" customHeight="1">
      <c r="A73" s="119">
        <v>17</v>
      </c>
      <c r="B73" s="119" t="str">
        <f>IF(Input!E26=""," ",Input!E26)</f>
        <v xml:space="preserve"> </v>
      </c>
      <c r="C73" s="119" t="str">
        <f>IF(PTKEY=2,'PT Answer Tables'!K20,IF(PTKEY=3,'PT Answer Tables'!L20, IF(PTKEY=4, 'PT Answer Tables'!M20, IF(PTKEY=5, 'PT Answer Tables'!N20, IF(PTKEY=6, 'PT Answer Tables'!O20,  IF(PTKEY=7, 'PT Answer Tables'!P20, 0))))))</f>
        <v>c</v>
      </c>
      <c r="D73" s="119" t="str">
        <f>IF(PTKEY=2,'PT 1 Skill Tables'!L21,IF(PTKEY=3,'PT 2 Skill Tables'!L21,IF(PTKEY=4,'PT 3 Skill Tables'!L21,IF(PTKEY=5,'PT 4 Skill Tables'!L21,IF(PTKEY=6,'PT 5 Skill Tables'!L21,IF(PTKEY=7,'PT 6 Skill Tables'!L21,0))))))</f>
        <v>Standard English Conventions</v>
      </c>
      <c r="E73" s="119" t="str">
        <f>IF(PTKEY=2,'PT 1 Skill Tables'!M21,IF(PTKEY=3,'PT 2 Skill Tables'!M21,IF(PTKEY=4,'PT 3 Skill Tables'!M21,IF(PTKEY=5,'PT 4 Skill Tables'!M21,IF(PTKEY=6,'PT 5 Skill Tables'!M21,IF(PTKEY=7,'PT 6 Skill Tables'!M21,0))))))</f>
        <v>Conventions of Usage</v>
      </c>
      <c r="F73" s="120" t="str">
        <f>IF(PTKEY=2,IF('PT 1 Skill Tables'!Q21=1,"History",IF('PT 1 Skill Tables'!R21=1,"Science","")),IF(PTKEY=3,IF('PT 2 Skill Tables'!Q21=1,"History",IF('PT 2 Skill Tables'!R21=1,"Science","")),IF(PTKEY=4,IF('PT 3 Skill Tables'!Q21=1,"History",IF('PT 3 Skill Tables'!R21=1,"Science","")),IF(PTKEY=5,IF('PT 4 Skill Tables'!Q21=1,"History",IF('PT 4 Skill Tables'!R21=1,"Science","")),IF(PTKEY=6,IF('PT 5 Skill Tables'!Q21=1,"History",IF('PT 5 Skill Tables'!R21=1,"Science","")),IF(PTKEY=7,IF('PT 6 Skill Tables'!Q21=1,"History",IF('PT 6 Skill Tables'!R21=1,"Science",""))))))))</f>
        <v/>
      </c>
      <c r="G73" s="120" t="str">
        <f>IF(PTKEY=2,IF('PT 1 Skill Tables'!O21=1,"Words in Context",IF('PT 1 Skill Tables'!P21=1,"Command of Evidence","")),IF(PTKEY=3,IF('PT 2 Skill Tables'!O21=1,"Words in Context",IF('PT 2 Skill Tables'!P21=1,"Command of Evidence","")),IF(PTKEY=4,IF('PT 3 Skill Tables'!O21=1,"Words in Context",IF('PT 3 Skill Tables'!P21=1,"Command of Evidence","")),IF(PTKEY=5,IF('PT 4 Skill Tables'!O21=1,"Words in Context",IF('PT 4 Skill Tables'!P21=1,"Command of Evidence","")),IF(PTKEY=6,IF('PT 5 Skill Tables'!O21=1,"Words in Context",IF('PT 5 Skill Tables'!P21=1,"Command of Evidence","")),IF(PTKEY=7,IF('PT 6 Skill Tables'!O21=1,"Words in Context",IF('PT 6 Skill Tables'!P21=1,"Command of Evidence",""))))))))</f>
        <v/>
      </c>
    </row>
    <row r="74" spans="1:7" ht="31.5" customHeight="1">
      <c r="A74" s="119">
        <v>18</v>
      </c>
      <c r="B74" s="119" t="str">
        <f>IF(Input!E27=""," ",Input!E27)</f>
        <v xml:space="preserve"> </v>
      </c>
      <c r="C74" s="119" t="str">
        <f>IF(PTKEY=2,'PT Answer Tables'!K21,IF(PTKEY=3,'PT Answer Tables'!L21, IF(PTKEY=4, 'PT Answer Tables'!M21, IF(PTKEY=5, 'PT Answer Tables'!N21, IF(PTKEY=6, 'PT Answer Tables'!O21,  IF(PTKEY=7, 'PT Answer Tables'!P21, 0))))))</f>
        <v>a</v>
      </c>
      <c r="D74" s="119" t="str">
        <f>IF(PTKEY=2,'PT 1 Skill Tables'!L22,IF(PTKEY=3,'PT 2 Skill Tables'!L22,IF(PTKEY=4,'PT 3 Skill Tables'!L22,IF(PTKEY=5,'PT 4 Skill Tables'!L22,IF(PTKEY=6,'PT 5 Skill Tables'!L22,IF(PTKEY=7,'PT 6 Skill Tables'!L22,0))))))</f>
        <v>Standard English Conventions</v>
      </c>
      <c r="E74" s="119" t="str">
        <f>IF(PTKEY=2,'PT 1 Skill Tables'!M22,IF(PTKEY=3,'PT 2 Skill Tables'!M22,IF(PTKEY=4,'PT 3 Skill Tables'!M22,IF(PTKEY=5,'PT 4 Skill Tables'!M22,IF(PTKEY=6,'PT 5 Skill Tables'!M22,IF(PTKEY=7,'PT 6 Skill Tables'!M22,0))))))</f>
        <v>Sentence Structure</v>
      </c>
      <c r="F74" s="120" t="str">
        <f>IF(PTKEY=2,IF('PT 1 Skill Tables'!Q22=1,"History",IF('PT 1 Skill Tables'!R22=1,"Science","")),IF(PTKEY=3,IF('PT 2 Skill Tables'!Q22=1,"History",IF('PT 2 Skill Tables'!R22=1,"Science","")),IF(PTKEY=4,IF('PT 3 Skill Tables'!Q22=1,"History",IF('PT 3 Skill Tables'!R22=1,"Science","")),IF(PTKEY=5,IF('PT 4 Skill Tables'!Q22=1,"History",IF('PT 4 Skill Tables'!R22=1,"Science","")),IF(PTKEY=6,IF('PT 5 Skill Tables'!Q22=1,"History",IF('PT 5 Skill Tables'!R22=1,"Science","")),IF(PTKEY=7,IF('PT 6 Skill Tables'!Q22=1,"History",IF('PT 6 Skill Tables'!R22=1,"Science",""))))))))</f>
        <v/>
      </c>
      <c r="G74" s="120" t="str">
        <f>IF(PTKEY=2,IF('PT 1 Skill Tables'!O22=1,"Words in Context",IF('PT 1 Skill Tables'!P22=1,"Command of Evidence","")),IF(PTKEY=3,IF('PT 2 Skill Tables'!O22=1,"Words in Context",IF('PT 2 Skill Tables'!P22=1,"Command of Evidence","")),IF(PTKEY=4,IF('PT 3 Skill Tables'!O22=1,"Words in Context",IF('PT 3 Skill Tables'!P22=1,"Command of Evidence","")),IF(PTKEY=5,IF('PT 4 Skill Tables'!O22=1,"Words in Context",IF('PT 4 Skill Tables'!P22=1,"Command of Evidence","")),IF(PTKEY=6,IF('PT 5 Skill Tables'!O22=1,"Words in Context",IF('PT 5 Skill Tables'!P22=1,"Command of Evidence","")),IF(PTKEY=7,IF('PT 6 Skill Tables'!O22=1,"Words in Context",IF('PT 6 Skill Tables'!P22=1,"Command of Evidence",""))))))))</f>
        <v/>
      </c>
    </row>
    <row r="75" spans="1:7" ht="31.5" customHeight="1">
      <c r="A75" s="119">
        <v>19</v>
      </c>
      <c r="B75" s="119" t="str">
        <f>IF(Input!E28=""," ",Input!E28)</f>
        <v xml:space="preserve"> </v>
      </c>
      <c r="C75" s="119" t="str">
        <f>IF(PTKEY=2,'PT Answer Tables'!K22,IF(PTKEY=3,'PT Answer Tables'!L22, IF(PTKEY=4, 'PT Answer Tables'!M22, IF(PTKEY=5, 'PT Answer Tables'!N22, IF(PTKEY=6, 'PT Answer Tables'!O22,  IF(PTKEY=7, 'PT Answer Tables'!P22, 0))))))</f>
        <v>d</v>
      </c>
      <c r="D75" s="119" t="str">
        <f>IF(PTKEY=2,'PT 1 Skill Tables'!L23,IF(PTKEY=3,'PT 2 Skill Tables'!L23,IF(PTKEY=4,'PT 3 Skill Tables'!L23,IF(PTKEY=5,'PT 4 Skill Tables'!L23,IF(PTKEY=6,'PT 5 Skill Tables'!L23,IF(PTKEY=7,'PT 6 Skill Tables'!L23,0))))))</f>
        <v>Standard English Conventions</v>
      </c>
      <c r="E75" s="119" t="str">
        <f>IF(PTKEY=2,'PT 1 Skill Tables'!M23,IF(PTKEY=3,'PT 2 Skill Tables'!M23,IF(PTKEY=4,'PT 3 Skill Tables'!M23,IF(PTKEY=5,'PT 4 Skill Tables'!M23,IF(PTKEY=6,'PT 5 Skill Tables'!M23,IF(PTKEY=7,'PT 6 Skill Tables'!M23,0))))))</f>
        <v>Conventions of Usage</v>
      </c>
      <c r="F75" s="120" t="str">
        <f>IF(PTKEY=2,IF('PT 1 Skill Tables'!Q23=1,"History",IF('PT 1 Skill Tables'!R23=1,"Science","")),IF(PTKEY=3,IF('PT 2 Skill Tables'!Q23=1,"History",IF('PT 2 Skill Tables'!R23=1,"Science","")),IF(PTKEY=4,IF('PT 3 Skill Tables'!Q23=1,"History",IF('PT 3 Skill Tables'!R23=1,"Science","")),IF(PTKEY=5,IF('PT 4 Skill Tables'!Q23=1,"History",IF('PT 4 Skill Tables'!R23=1,"Science","")),IF(PTKEY=6,IF('PT 5 Skill Tables'!Q23=1,"History",IF('PT 5 Skill Tables'!R23=1,"Science","")),IF(PTKEY=7,IF('PT 6 Skill Tables'!Q23=1,"History",IF('PT 6 Skill Tables'!R23=1,"Science",""))))))))</f>
        <v/>
      </c>
      <c r="G75" s="120" t="str">
        <f>IF(PTKEY=2,IF('PT 1 Skill Tables'!O23=1,"Words in Context",IF('PT 1 Skill Tables'!P23=1,"Command of Evidence","")),IF(PTKEY=3,IF('PT 2 Skill Tables'!O23=1,"Words in Context",IF('PT 2 Skill Tables'!P23=1,"Command of Evidence","")),IF(PTKEY=4,IF('PT 3 Skill Tables'!O23=1,"Words in Context",IF('PT 3 Skill Tables'!P23=1,"Command of Evidence","")),IF(PTKEY=5,IF('PT 4 Skill Tables'!O23=1,"Words in Context",IF('PT 4 Skill Tables'!P23=1,"Command of Evidence","")),IF(PTKEY=6,IF('PT 5 Skill Tables'!O23=1,"Words in Context",IF('PT 5 Skill Tables'!P23=1,"Command of Evidence","")),IF(PTKEY=7,IF('PT 6 Skill Tables'!O23=1,"Words in Context",IF('PT 6 Skill Tables'!P23=1,"Command of Evidence",""))))))))</f>
        <v/>
      </c>
    </row>
    <row r="76" spans="1:7" ht="31.5" customHeight="1">
      <c r="A76" s="119">
        <v>20</v>
      </c>
      <c r="B76" s="119" t="str">
        <f>IF(Input!E29=""," ",Input!E29)</f>
        <v xml:space="preserve"> </v>
      </c>
      <c r="C76" s="119" t="str">
        <f>IF(PTKEY=2,'PT Answer Tables'!K23,IF(PTKEY=3,'PT Answer Tables'!L23, IF(PTKEY=4, 'PT Answer Tables'!M23, IF(PTKEY=5, 'PT Answer Tables'!N23, IF(PTKEY=6, 'PT Answer Tables'!O23,  IF(PTKEY=7, 'PT Answer Tables'!P23, 0))))))</f>
        <v>d</v>
      </c>
      <c r="D76" s="119" t="str">
        <f>IF(PTKEY=2,'PT 1 Skill Tables'!L24,IF(PTKEY=3,'PT 2 Skill Tables'!L24,IF(PTKEY=4,'PT 3 Skill Tables'!L24,IF(PTKEY=5,'PT 4 Skill Tables'!L24,IF(PTKEY=6,'PT 5 Skill Tables'!L24,IF(PTKEY=7,'PT 6 Skill Tables'!L24,0))))))</f>
        <v>Expression of Ideas</v>
      </c>
      <c r="E76" s="119" t="str">
        <f>IF(PTKEY=2,'PT 1 Skill Tables'!M24,IF(PTKEY=3,'PT 2 Skill Tables'!M24,IF(PTKEY=4,'PT 3 Skill Tables'!M24,IF(PTKEY=5,'PT 4 Skill Tables'!M24,IF(PTKEY=6,'PT 5 Skill Tables'!M24,IF(PTKEY=7,'PT 6 Skill Tables'!M24,0))))))</f>
        <v>Development</v>
      </c>
      <c r="F76" s="120" t="str">
        <f>IF(PTKEY=2,IF('PT 1 Skill Tables'!Q24=1,"History",IF('PT 1 Skill Tables'!R24=1,"Science","")),IF(PTKEY=3,IF('PT 2 Skill Tables'!Q24=1,"History",IF('PT 2 Skill Tables'!R24=1,"Science","")),IF(PTKEY=4,IF('PT 3 Skill Tables'!Q24=1,"History",IF('PT 3 Skill Tables'!R24=1,"Science","")),IF(PTKEY=5,IF('PT 4 Skill Tables'!Q24=1,"History",IF('PT 4 Skill Tables'!R24=1,"Science","")),IF(PTKEY=6,IF('PT 5 Skill Tables'!Q24=1,"History",IF('PT 5 Skill Tables'!R24=1,"Science","")),IF(PTKEY=7,IF('PT 6 Skill Tables'!Q24=1,"History",IF('PT 6 Skill Tables'!R24=1,"Science",""))))))))</f>
        <v>Science</v>
      </c>
      <c r="G76" s="120" t="str">
        <f>IF(PTKEY=2,IF('PT 1 Skill Tables'!O24=1,"Words in Context",IF('PT 1 Skill Tables'!P24=1,"Command of Evidence","")),IF(PTKEY=3,IF('PT 2 Skill Tables'!O24=1,"Words in Context",IF('PT 2 Skill Tables'!P24=1,"Command of Evidence","")),IF(PTKEY=4,IF('PT 3 Skill Tables'!O24=1,"Words in Context",IF('PT 3 Skill Tables'!P24=1,"Command of Evidence","")),IF(PTKEY=5,IF('PT 4 Skill Tables'!O24=1,"Words in Context",IF('PT 4 Skill Tables'!P24=1,"Command of Evidence","")),IF(PTKEY=6,IF('PT 5 Skill Tables'!O24=1,"Words in Context",IF('PT 5 Skill Tables'!P24=1,"Command of Evidence","")),IF(PTKEY=7,IF('PT 6 Skill Tables'!O24=1,"Words in Context",IF('PT 6 Skill Tables'!P24=1,"Command of Evidence",""))))))))</f>
        <v>Command of Evidence</v>
      </c>
    </row>
    <row r="77" spans="1:7" ht="31.5" customHeight="1">
      <c r="A77" s="119">
        <v>21</v>
      </c>
      <c r="B77" s="119" t="str">
        <f>IF(Input!E30=""," ",Input!E30)</f>
        <v xml:space="preserve"> </v>
      </c>
      <c r="C77" s="119" t="str">
        <f>IF(PTKEY=2,'PT Answer Tables'!K24,IF(PTKEY=3,'PT Answer Tables'!L24, IF(PTKEY=4, 'PT Answer Tables'!M24, IF(PTKEY=5, 'PT Answer Tables'!N24, IF(PTKEY=6, 'PT Answer Tables'!O24,  IF(PTKEY=7, 'PT Answer Tables'!P24, 0))))))</f>
        <v>b</v>
      </c>
      <c r="D77" s="119" t="str">
        <f>IF(PTKEY=2,'PT 1 Skill Tables'!L25,IF(PTKEY=3,'PT 2 Skill Tables'!L25,IF(PTKEY=4,'PT 3 Skill Tables'!L25,IF(PTKEY=5,'PT 4 Skill Tables'!L25,IF(PTKEY=6,'PT 5 Skill Tables'!L25,IF(PTKEY=7,'PT 6 Skill Tables'!L25,0))))))</f>
        <v>Expression of Ideas</v>
      </c>
      <c r="E77" s="119" t="str">
        <f>IF(PTKEY=2,'PT 1 Skill Tables'!M25,IF(PTKEY=3,'PT 2 Skill Tables'!M25,IF(PTKEY=4,'PT 3 Skill Tables'!M25,IF(PTKEY=5,'PT 4 Skill Tables'!M25,IF(PTKEY=6,'PT 5 Skill Tables'!M25,IF(PTKEY=7,'PT 6 Skill Tables'!M25,0))))))</f>
        <v>Effective Language Use</v>
      </c>
      <c r="F77" s="120" t="str">
        <f>IF(PTKEY=2,IF('PT 1 Skill Tables'!Q25=1,"History",IF('PT 1 Skill Tables'!R25=1,"Science","")),IF(PTKEY=3,IF('PT 2 Skill Tables'!Q25=1,"History",IF('PT 2 Skill Tables'!R25=1,"Science","")),IF(PTKEY=4,IF('PT 3 Skill Tables'!Q25=1,"History",IF('PT 3 Skill Tables'!R25=1,"Science","")),IF(PTKEY=5,IF('PT 4 Skill Tables'!Q25=1,"History",IF('PT 4 Skill Tables'!R25=1,"Science","")),IF(PTKEY=6,IF('PT 5 Skill Tables'!Q25=1,"History",IF('PT 5 Skill Tables'!R25=1,"Science","")),IF(PTKEY=7,IF('PT 6 Skill Tables'!Q25=1,"History",IF('PT 6 Skill Tables'!R25=1,"Science",""))))))))</f>
        <v>Science</v>
      </c>
      <c r="G77" s="120" t="str">
        <f>IF(PTKEY=2,IF('PT 1 Skill Tables'!O25=1,"Words in Context",IF('PT 1 Skill Tables'!P25=1,"Command of Evidence","")),IF(PTKEY=3,IF('PT 2 Skill Tables'!O25=1,"Words in Context",IF('PT 2 Skill Tables'!P25=1,"Command of Evidence","")),IF(PTKEY=4,IF('PT 3 Skill Tables'!O25=1,"Words in Context",IF('PT 3 Skill Tables'!P25=1,"Command of Evidence","")),IF(PTKEY=5,IF('PT 4 Skill Tables'!O25=1,"Words in Context",IF('PT 4 Skill Tables'!P25=1,"Command of Evidence","")),IF(PTKEY=6,IF('PT 5 Skill Tables'!O25=1,"Words in Context",IF('PT 5 Skill Tables'!P25=1,"Command of Evidence","")),IF(PTKEY=7,IF('PT 6 Skill Tables'!O25=1,"Words in Context",IF('PT 6 Skill Tables'!P25=1,"Command of Evidence",""))))))))</f>
        <v>Words in Context</v>
      </c>
    </row>
    <row r="78" spans="1:7" ht="31.5" customHeight="1">
      <c r="A78" s="119">
        <v>22</v>
      </c>
      <c r="B78" s="119" t="str">
        <f>IF(Input!E31=""," ",Input!E31)</f>
        <v xml:space="preserve"> </v>
      </c>
      <c r="C78" s="119" t="str">
        <f>IF(PTKEY=2,'PT Answer Tables'!K25,IF(PTKEY=3,'PT Answer Tables'!L25, IF(PTKEY=4, 'PT Answer Tables'!M25, IF(PTKEY=5, 'PT Answer Tables'!N25, IF(PTKEY=6, 'PT Answer Tables'!O25,  IF(PTKEY=7, 'PT Answer Tables'!P25, 0))))))</f>
        <v>d</v>
      </c>
      <c r="D78" s="119" t="str">
        <f>IF(PTKEY=2,'PT 1 Skill Tables'!L26,IF(PTKEY=3,'PT 2 Skill Tables'!L26,IF(PTKEY=4,'PT 3 Skill Tables'!L26,IF(PTKEY=5,'PT 4 Skill Tables'!L26,IF(PTKEY=6,'PT 5 Skill Tables'!L26,IF(PTKEY=7,'PT 6 Skill Tables'!L26,0))))))</f>
        <v>Expression of Ideas</v>
      </c>
      <c r="E78" s="119" t="str">
        <f>IF(PTKEY=2,'PT 1 Skill Tables'!M26,IF(PTKEY=3,'PT 2 Skill Tables'!M26,IF(PTKEY=4,'PT 3 Skill Tables'!M26,IF(PTKEY=5,'PT 4 Skill Tables'!M26,IF(PTKEY=6,'PT 5 Skill Tables'!M26,IF(PTKEY=7,'PT 6 Skill Tables'!M26,0))))))</f>
        <v>Organization</v>
      </c>
      <c r="F78" s="120" t="str">
        <f>IF(PTKEY=2,IF('PT 1 Skill Tables'!Q26=1,"History",IF('PT 1 Skill Tables'!R26=1,"Science","")),IF(PTKEY=3,IF('PT 2 Skill Tables'!Q26=1,"History",IF('PT 2 Skill Tables'!R26=1,"Science","")),IF(PTKEY=4,IF('PT 3 Skill Tables'!Q26=1,"History",IF('PT 3 Skill Tables'!R26=1,"Science","")),IF(PTKEY=5,IF('PT 4 Skill Tables'!Q26=1,"History",IF('PT 4 Skill Tables'!R26=1,"Science","")),IF(PTKEY=6,IF('PT 5 Skill Tables'!Q26=1,"History",IF('PT 5 Skill Tables'!R26=1,"Science","")),IF(PTKEY=7,IF('PT 6 Skill Tables'!Q26=1,"History",IF('PT 6 Skill Tables'!R26=1,"Science",""))))))))</f>
        <v>Science</v>
      </c>
      <c r="G78" s="120" t="str">
        <f>IF(PTKEY=2,IF('PT 1 Skill Tables'!O26=1,"Words in Context",IF('PT 1 Skill Tables'!P26=1,"Command of Evidence","")),IF(PTKEY=3,IF('PT 2 Skill Tables'!O26=1,"Words in Context",IF('PT 2 Skill Tables'!P26=1,"Command of Evidence","")),IF(PTKEY=4,IF('PT 3 Skill Tables'!O26=1,"Words in Context",IF('PT 3 Skill Tables'!P26=1,"Command of Evidence","")),IF(PTKEY=5,IF('PT 4 Skill Tables'!O26=1,"Words in Context",IF('PT 4 Skill Tables'!P26=1,"Command of Evidence","")),IF(PTKEY=6,IF('PT 5 Skill Tables'!O26=1,"Words in Context",IF('PT 5 Skill Tables'!P26=1,"Command of Evidence","")),IF(PTKEY=7,IF('PT 6 Skill Tables'!O26=1,"Words in Context",IF('PT 6 Skill Tables'!P26=1,"Command of Evidence",""))))))))</f>
        <v/>
      </c>
    </row>
    <row r="79" spans="1:7" ht="31.5" customHeight="1">
      <c r="A79" s="119">
        <v>23</v>
      </c>
      <c r="B79" s="119" t="str">
        <f>IF(Input!E32=""," ",Input!E32)</f>
        <v xml:space="preserve"> </v>
      </c>
      <c r="C79" s="119" t="str">
        <f>IF(PTKEY=2,'PT Answer Tables'!K26,IF(PTKEY=3,'PT Answer Tables'!L26, IF(PTKEY=4, 'PT Answer Tables'!M26, IF(PTKEY=5, 'PT Answer Tables'!N26, IF(PTKEY=6, 'PT Answer Tables'!O26,  IF(PTKEY=7, 'PT Answer Tables'!P26, 0))))))</f>
        <v>d</v>
      </c>
      <c r="D79" s="119" t="str">
        <f>IF(PTKEY=2,'PT 1 Skill Tables'!L27,IF(PTKEY=3,'PT 2 Skill Tables'!L27,IF(PTKEY=4,'PT 3 Skill Tables'!L27,IF(PTKEY=5,'PT 4 Skill Tables'!L27,IF(PTKEY=6,'PT 5 Skill Tables'!L27,IF(PTKEY=7,'PT 6 Skill Tables'!L27,0))))))</f>
        <v>Expression of Ideas</v>
      </c>
      <c r="E79" s="119" t="str">
        <f>IF(PTKEY=2,'PT 1 Skill Tables'!M27,IF(PTKEY=3,'PT 2 Skill Tables'!M27,IF(PTKEY=4,'PT 3 Skill Tables'!M27,IF(PTKEY=5,'PT 4 Skill Tables'!M27,IF(PTKEY=6,'PT 5 Skill Tables'!M27,IF(PTKEY=7,'PT 6 Skill Tables'!M27,0))))))</f>
        <v>Effective Language Use</v>
      </c>
      <c r="F79" s="120" t="str">
        <f>IF(PTKEY=2,IF('PT 1 Skill Tables'!Q27=1,"History",IF('PT 1 Skill Tables'!R27=1,"Science","")),IF(PTKEY=3,IF('PT 2 Skill Tables'!Q27=1,"History",IF('PT 2 Skill Tables'!R27=1,"Science","")),IF(PTKEY=4,IF('PT 3 Skill Tables'!Q27=1,"History",IF('PT 3 Skill Tables'!R27=1,"Science","")),IF(PTKEY=5,IF('PT 4 Skill Tables'!Q27=1,"History",IF('PT 4 Skill Tables'!R27=1,"Science","")),IF(PTKEY=6,IF('PT 5 Skill Tables'!Q27=1,"History",IF('PT 5 Skill Tables'!R27=1,"Science","")),IF(PTKEY=7,IF('PT 6 Skill Tables'!Q27=1,"History",IF('PT 6 Skill Tables'!R27=1,"Science",""))))))))</f>
        <v/>
      </c>
      <c r="G79" s="120" t="str">
        <f>IF(PTKEY=2,IF('PT 1 Skill Tables'!O27=1,"Words in Context",IF('PT 1 Skill Tables'!P27=1,"Command of Evidence","")),IF(PTKEY=3,IF('PT 2 Skill Tables'!O27=1,"Words in Context",IF('PT 2 Skill Tables'!P27=1,"Command of Evidence","")),IF(PTKEY=4,IF('PT 3 Skill Tables'!O27=1,"Words in Context",IF('PT 3 Skill Tables'!P27=1,"Command of Evidence","")),IF(PTKEY=5,IF('PT 4 Skill Tables'!O27=1,"Words in Context",IF('PT 4 Skill Tables'!P27=1,"Command of Evidence","")),IF(PTKEY=6,IF('PT 5 Skill Tables'!O27=1,"Words in Context",IF('PT 5 Skill Tables'!P27=1,"Command of Evidence","")),IF(PTKEY=7,IF('PT 6 Skill Tables'!O27=1,"Words in Context",IF('PT 6 Skill Tables'!P27=1,"Command of Evidence",""))))))))</f>
        <v>Words in Context</v>
      </c>
    </row>
    <row r="80" spans="1:7" ht="31.5" customHeight="1">
      <c r="A80" s="119">
        <v>24</v>
      </c>
      <c r="B80" s="119" t="str">
        <f>IF(Input!E33=""," ",Input!E33)</f>
        <v xml:space="preserve"> </v>
      </c>
      <c r="C80" s="119" t="str">
        <f>IF(PTKEY=2,'PT Answer Tables'!K27,IF(PTKEY=3,'PT Answer Tables'!L27, IF(PTKEY=4, 'PT Answer Tables'!M27, IF(PTKEY=5, 'PT Answer Tables'!N27, IF(PTKEY=6, 'PT Answer Tables'!O27,  IF(PTKEY=7, 'PT Answer Tables'!P27, 0))))))</f>
        <v>d</v>
      </c>
      <c r="D80" s="119" t="str">
        <f>IF(PTKEY=2,'PT 1 Skill Tables'!L28,IF(PTKEY=3,'PT 2 Skill Tables'!L28,IF(PTKEY=4,'PT 3 Skill Tables'!L28,IF(PTKEY=5,'PT 4 Skill Tables'!L28,IF(PTKEY=6,'PT 5 Skill Tables'!L28,IF(PTKEY=7,'PT 6 Skill Tables'!L28,0))))))</f>
        <v>Standard English Conventions</v>
      </c>
      <c r="E80" s="119" t="str">
        <f>IF(PTKEY=2,'PT 1 Skill Tables'!M28,IF(PTKEY=3,'PT 2 Skill Tables'!M28,IF(PTKEY=4,'PT 3 Skill Tables'!M28,IF(PTKEY=5,'PT 4 Skill Tables'!M28,IF(PTKEY=6,'PT 5 Skill Tables'!M28,IF(PTKEY=7,'PT 6 Skill Tables'!M28,0))))))</f>
        <v>Sentence Structure</v>
      </c>
      <c r="F80" s="120" t="str">
        <f>IF(PTKEY=2,IF('PT 1 Skill Tables'!Q28=1,"History",IF('PT 1 Skill Tables'!R28=1,"Science","")),IF(PTKEY=3,IF('PT 2 Skill Tables'!Q28=1,"History",IF('PT 2 Skill Tables'!R28=1,"Science","")),IF(PTKEY=4,IF('PT 3 Skill Tables'!Q28=1,"History",IF('PT 3 Skill Tables'!R28=1,"Science","")),IF(PTKEY=5,IF('PT 4 Skill Tables'!Q28=1,"History",IF('PT 4 Skill Tables'!R28=1,"Science","")),IF(PTKEY=6,IF('PT 5 Skill Tables'!Q28=1,"History",IF('PT 5 Skill Tables'!R28=1,"Science","")),IF(PTKEY=7,IF('PT 6 Skill Tables'!Q28=1,"History",IF('PT 6 Skill Tables'!R28=1,"Science",""))))))))</f>
        <v/>
      </c>
      <c r="G80" s="120" t="str">
        <f>IF(PTKEY=2,IF('PT 1 Skill Tables'!O28=1,"Words in Context",IF('PT 1 Skill Tables'!P28=1,"Command of Evidence","")),IF(PTKEY=3,IF('PT 2 Skill Tables'!O28=1,"Words in Context",IF('PT 2 Skill Tables'!P28=1,"Command of Evidence","")),IF(PTKEY=4,IF('PT 3 Skill Tables'!O28=1,"Words in Context",IF('PT 3 Skill Tables'!P28=1,"Command of Evidence","")),IF(PTKEY=5,IF('PT 4 Skill Tables'!O28=1,"Words in Context",IF('PT 4 Skill Tables'!P28=1,"Command of Evidence","")),IF(PTKEY=6,IF('PT 5 Skill Tables'!O28=1,"Words in Context",IF('PT 5 Skill Tables'!P28=1,"Command of Evidence","")),IF(PTKEY=7,IF('PT 6 Skill Tables'!O28=1,"Words in Context",IF('PT 6 Skill Tables'!P28=1,"Command of Evidence",""))))))))</f>
        <v/>
      </c>
    </row>
    <row r="81" spans="1:7" ht="31.5" customHeight="1">
      <c r="A81" s="119">
        <v>25</v>
      </c>
      <c r="B81" s="119" t="str">
        <f>IF(Input!E34=""," ",Input!E34)</f>
        <v xml:space="preserve"> </v>
      </c>
      <c r="C81" s="119" t="str">
        <f>IF(PTKEY=2,'PT Answer Tables'!K28,IF(PTKEY=3,'PT Answer Tables'!L28, IF(PTKEY=4, 'PT Answer Tables'!M28, IF(PTKEY=5, 'PT Answer Tables'!N28, IF(PTKEY=6, 'PT Answer Tables'!O28,  IF(PTKEY=7, 'PT Answer Tables'!P28, 0))))))</f>
        <v>b</v>
      </c>
      <c r="D81" s="119" t="str">
        <f>IF(PTKEY=2,'PT 1 Skill Tables'!L29,IF(PTKEY=3,'PT 2 Skill Tables'!L29,IF(PTKEY=4,'PT 3 Skill Tables'!L29,IF(PTKEY=5,'PT 4 Skill Tables'!L29,IF(PTKEY=6,'PT 5 Skill Tables'!L29,IF(PTKEY=7,'PT 6 Skill Tables'!L29,0))))))</f>
        <v>Standard English Conventions</v>
      </c>
      <c r="E81" s="119" t="str">
        <f>IF(PTKEY=2,'PT 1 Skill Tables'!M29,IF(PTKEY=3,'PT 2 Skill Tables'!M29,IF(PTKEY=4,'PT 3 Skill Tables'!M29,IF(PTKEY=5,'PT 4 Skill Tables'!M29,IF(PTKEY=6,'PT 5 Skill Tables'!M29,IF(PTKEY=7,'PT 6 Skill Tables'!M29,0))))))</f>
        <v>Conventions of Usage</v>
      </c>
      <c r="F81" s="120" t="str">
        <f>IF(PTKEY=2,IF('PT 1 Skill Tables'!Q29=1,"History",IF('PT 1 Skill Tables'!R29=1,"Science","")),IF(PTKEY=3,IF('PT 2 Skill Tables'!Q29=1,"History",IF('PT 2 Skill Tables'!R29=1,"Science","")),IF(PTKEY=4,IF('PT 3 Skill Tables'!Q29=1,"History",IF('PT 3 Skill Tables'!R29=1,"Science","")),IF(PTKEY=5,IF('PT 4 Skill Tables'!Q29=1,"History",IF('PT 4 Skill Tables'!R29=1,"Science","")),IF(PTKEY=6,IF('PT 5 Skill Tables'!Q29=1,"History",IF('PT 5 Skill Tables'!R29=1,"Science","")),IF(PTKEY=7,IF('PT 6 Skill Tables'!Q29=1,"History",IF('PT 6 Skill Tables'!R29=1,"Science",""))))))))</f>
        <v/>
      </c>
      <c r="G81" s="120" t="str">
        <f>IF(PTKEY=2,IF('PT 1 Skill Tables'!O29=1,"Words in Context",IF('PT 1 Skill Tables'!P29=1,"Command of Evidence","")),IF(PTKEY=3,IF('PT 2 Skill Tables'!O29=1,"Words in Context",IF('PT 2 Skill Tables'!P29=1,"Command of Evidence","")),IF(PTKEY=4,IF('PT 3 Skill Tables'!O29=1,"Words in Context",IF('PT 3 Skill Tables'!P29=1,"Command of Evidence","")),IF(PTKEY=5,IF('PT 4 Skill Tables'!O29=1,"Words in Context",IF('PT 4 Skill Tables'!P29=1,"Command of Evidence","")),IF(PTKEY=6,IF('PT 5 Skill Tables'!O29=1,"Words in Context",IF('PT 5 Skill Tables'!P29=1,"Command of Evidence","")),IF(PTKEY=7,IF('PT 6 Skill Tables'!O29=1,"Words in Context",IF('PT 6 Skill Tables'!P29=1,"Command of Evidence",""))))))))</f>
        <v/>
      </c>
    </row>
    <row r="82" spans="1:7" ht="31.5" customHeight="1">
      <c r="A82" s="119">
        <v>26</v>
      </c>
      <c r="B82" s="119" t="str">
        <f>IF(Input!E35=""," ",Input!E35)</f>
        <v xml:space="preserve"> </v>
      </c>
      <c r="C82" s="119" t="str">
        <f>IF(PTKEY=2,'PT Answer Tables'!K29,IF(PTKEY=3,'PT Answer Tables'!L29, IF(PTKEY=4, 'PT Answer Tables'!M29, IF(PTKEY=5, 'PT Answer Tables'!N29, IF(PTKEY=6, 'PT Answer Tables'!O29,  IF(PTKEY=7, 'PT Answer Tables'!P29, 0))))))</f>
        <v>a</v>
      </c>
      <c r="D82" s="119" t="str">
        <f>IF(PTKEY=2,'PT 1 Skill Tables'!L30,IF(PTKEY=3,'PT 2 Skill Tables'!L30,IF(PTKEY=4,'PT 3 Skill Tables'!L30,IF(PTKEY=5,'PT 4 Skill Tables'!L30,IF(PTKEY=6,'PT 5 Skill Tables'!L30,IF(PTKEY=7,'PT 6 Skill Tables'!L30,0))))))</f>
        <v>Standard English Conventions</v>
      </c>
      <c r="E82" s="119" t="str">
        <f>IF(PTKEY=2,'PT 1 Skill Tables'!M30,IF(PTKEY=3,'PT 2 Skill Tables'!M30,IF(PTKEY=4,'PT 3 Skill Tables'!M30,IF(PTKEY=5,'PT 4 Skill Tables'!M30,IF(PTKEY=6,'PT 5 Skill Tables'!M30,IF(PTKEY=7,'PT 6 Skill Tables'!M30,0))))))</f>
        <v>Punctuation</v>
      </c>
      <c r="F82" s="120" t="str">
        <f>IF(PTKEY=2,IF('PT 1 Skill Tables'!Q30=1,"History",IF('PT 1 Skill Tables'!R30=1,"Science","")),IF(PTKEY=3,IF('PT 2 Skill Tables'!Q30=1,"History",IF('PT 2 Skill Tables'!R30=1,"Science","")),IF(PTKEY=4,IF('PT 3 Skill Tables'!Q30=1,"History",IF('PT 3 Skill Tables'!R30=1,"Science","")),IF(PTKEY=5,IF('PT 4 Skill Tables'!Q30=1,"History",IF('PT 4 Skill Tables'!R30=1,"Science","")),IF(PTKEY=6,IF('PT 5 Skill Tables'!Q30=1,"History",IF('PT 5 Skill Tables'!R30=1,"Science","")),IF(PTKEY=7,IF('PT 6 Skill Tables'!Q30=1,"History",IF('PT 6 Skill Tables'!R30=1,"Science",""))))))))</f>
        <v/>
      </c>
      <c r="G82" s="120" t="str">
        <f>IF(PTKEY=2,IF('PT 1 Skill Tables'!O30=1,"Words in Context",IF('PT 1 Skill Tables'!P30=1,"Command of Evidence","")),IF(PTKEY=3,IF('PT 2 Skill Tables'!O30=1,"Words in Context",IF('PT 2 Skill Tables'!P30=1,"Command of Evidence","")),IF(PTKEY=4,IF('PT 3 Skill Tables'!O30=1,"Words in Context",IF('PT 3 Skill Tables'!P30=1,"Command of Evidence","")),IF(PTKEY=5,IF('PT 4 Skill Tables'!O30=1,"Words in Context",IF('PT 4 Skill Tables'!P30=1,"Command of Evidence","")),IF(PTKEY=6,IF('PT 5 Skill Tables'!O30=1,"Words in Context",IF('PT 5 Skill Tables'!P30=1,"Command of Evidence","")),IF(PTKEY=7,IF('PT 6 Skill Tables'!O30=1,"Words in Context",IF('PT 6 Skill Tables'!P30=1,"Command of Evidence",""))))))))</f>
        <v/>
      </c>
    </row>
    <row r="83" spans="1:7" ht="31.5" customHeight="1">
      <c r="A83" s="119">
        <v>27</v>
      </c>
      <c r="B83" s="119" t="str">
        <f>IF(Input!E36=""," ",Input!E36)</f>
        <v xml:space="preserve"> </v>
      </c>
      <c r="C83" s="119" t="str">
        <f>IF(PTKEY=2,'PT Answer Tables'!K30,IF(PTKEY=3,'PT Answer Tables'!L30, IF(PTKEY=4, 'PT Answer Tables'!M30, IF(PTKEY=5, 'PT Answer Tables'!N30, IF(PTKEY=6, 'PT Answer Tables'!O30,  IF(PTKEY=7, 'PT Answer Tables'!P30, 0))))))</f>
        <v>b</v>
      </c>
      <c r="D83" s="119" t="str">
        <f>IF(PTKEY=2,'PT 1 Skill Tables'!L31,IF(PTKEY=3,'PT 2 Skill Tables'!L31,IF(PTKEY=4,'PT 3 Skill Tables'!L31,IF(PTKEY=5,'PT 4 Skill Tables'!L31,IF(PTKEY=6,'PT 5 Skill Tables'!L31,IF(PTKEY=7,'PT 6 Skill Tables'!L31,0))))))</f>
        <v>Expression of Ideas</v>
      </c>
      <c r="E83" s="119" t="str">
        <f>IF(PTKEY=2,'PT 1 Skill Tables'!M31,IF(PTKEY=3,'PT 2 Skill Tables'!M31,IF(PTKEY=4,'PT 3 Skill Tables'!M31,IF(PTKEY=5,'PT 4 Skill Tables'!M31,IF(PTKEY=6,'PT 5 Skill Tables'!M31,IF(PTKEY=7,'PT 6 Skill Tables'!M31,0))))))</f>
        <v>Effective Language Use</v>
      </c>
      <c r="F83" s="120" t="str">
        <f>IF(PTKEY=2,IF('PT 1 Skill Tables'!Q31=1,"History",IF('PT 1 Skill Tables'!R31=1,"Science","")),IF(PTKEY=3,IF('PT 2 Skill Tables'!Q31=1,"History",IF('PT 2 Skill Tables'!R31=1,"Science","")),IF(PTKEY=4,IF('PT 3 Skill Tables'!Q31=1,"History",IF('PT 3 Skill Tables'!R31=1,"Science","")),IF(PTKEY=5,IF('PT 4 Skill Tables'!Q31=1,"History",IF('PT 4 Skill Tables'!R31=1,"Science","")),IF(PTKEY=6,IF('PT 5 Skill Tables'!Q31=1,"History",IF('PT 5 Skill Tables'!R31=1,"Science","")),IF(PTKEY=7,IF('PT 6 Skill Tables'!Q31=1,"History",IF('PT 6 Skill Tables'!R31=1,"Science",""))))))))</f>
        <v/>
      </c>
      <c r="G83" s="120" t="str">
        <f>IF(PTKEY=2,IF('PT 1 Skill Tables'!O31=1,"Words in Context",IF('PT 1 Skill Tables'!P31=1,"Command of Evidence","")),IF(PTKEY=3,IF('PT 2 Skill Tables'!O31=1,"Words in Context",IF('PT 2 Skill Tables'!P31=1,"Command of Evidence","")),IF(PTKEY=4,IF('PT 3 Skill Tables'!O31=1,"Words in Context",IF('PT 3 Skill Tables'!P31=1,"Command of Evidence","")),IF(PTKEY=5,IF('PT 4 Skill Tables'!O31=1,"Words in Context",IF('PT 4 Skill Tables'!P31=1,"Command of Evidence","")),IF(PTKEY=6,IF('PT 5 Skill Tables'!O31=1,"Words in Context",IF('PT 5 Skill Tables'!P31=1,"Command of Evidence","")),IF(PTKEY=7,IF('PT 6 Skill Tables'!O31=1,"Words in Context",IF('PT 6 Skill Tables'!P31=1,"Command of Evidence",""))))))))</f>
        <v/>
      </c>
    </row>
    <row r="84" spans="1:7" ht="31.5" customHeight="1">
      <c r="A84" s="119">
        <v>28</v>
      </c>
      <c r="B84" s="119" t="str">
        <f>IF(Input!E37=""," ",Input!E37)</f>
        <v xml:space="preserve"> </v>
      </c>
      <c r="C84" s="119" t="str">
        <f>IF(PTKEY=2,'PT Answer Tables'!K31,IF(PTKEY=3,'PT Answer Tables'!L31, IF(PTKEY=4, 'PT Answer Tables'!M31, IF(PTKEY=5, 'PT Answer Tables'!N31, IF(PTKEY=6, 'PT Answer Tables'!O31,  IF(PTKEY=7, 'PT Answer Tables'!P31, 0))))))</f>
        <v>c</v>
      </c>
      <c r="D84" s="119" t="str">
        <f>IF(PTKEY=2,'PT 1 Skill Tables'!L32,IF(PTKEY=3,'PT 2 Skill Tables'!L32,IF(PTKEY=4,'PT 3 Skill Tables'!L32,IF(PTKEY=5,'PT 4 Skill Tables'!L32,IF(PTKEY=6,'PT 5 Skill Tables'!L32,IF(PTKEY=7,'PT 6 Skill Tables'!L32,0))))))</f>
        <v>Expression of Ideas</v>
      </c>
      <c r="E84" s="119" t="str">
        <f>IF(PTKEY=2,'PT 1 Skill Tables'!M32,IF(PTKEY=3,'PT 2 Skill Tables'!M32,IF(PTKEY=4,'PT 3 Skill Tables'!M32,IF(PTKEY=5,'PT 4 Skill Tables'!M32,IF(PTKEY=6,'PT 5 Skill Tables'!M32,IF(PTKEY=7,'PT 6 Skill Tables'!M32,0))))))</f>
        <v>Development</v>
      </c>
      <c r="F84" s="120" t="str">
        <f>IF(PTKEY=2,IF('PT 1 Skill Tables'!Q32=1,"History",IF('PT 1 Skill Tables'!R32=1,"Science","")),IF(PTKEY=3,IF('PT 2 Skill Tables'!Q32=1,"History",IF('PT 2 Skill Tables'!R32=1,"Science","")),IF(PTKEY=4,IF('PT 3 Skill Tables'!Q32=1,"History",IF('PT 3 Skill Tables'!R32=1,"Science","")),IF(PTKEY=5,IF('PT 4 Skill Tables'!Q32=1,"History",IF('PT 4 Skill Tables'!R32=1,"Science","")),IF(PTKEY=6,IF('PT 5 Skill Tables'!Q32=1,"History",IF('PT 5 Skill Tables'!R32=1,"Science","")),IF(PTKEY=7,IF('PT 6 Skill Tables'!Q32=1,"History",IF('PT 6 Skill Tables'!R32=1,"Science",""))))))))</f>
        <v/>
      </c>
      <c r="G84" s="120" t="str">
        <f>IF(PTKEY=2,IF('PT 1 Skill Tables'!O32=1,"Words in Context",IF('PT 1 Skill Tables'!P32=1,"Command of Evidence","")),IF(PTKEY=3,IF('PT 2 Skill Tables'!O32=1,"Words in Context",IF('PT 2 Skill Tables'!P32=1,"Command of Evidence","")),IF(PTKEY=4,IF('PT 3 Skill Tables'!O32=1,"Words in Context",IF('PT 3 Skill Tables'!P32=1,"Command of Evidence","")),IF(PTKEY=5,IF('PT 4 Skill Tables'!O32=1,"Words in Context",IF('PT 4 Skill Tables'!P32=1,"Command of Evidence","")),IF(PTKEY=6,IF('PT 5 Skill Tables'!O32=1,"Words in Context",IF('PT 5 Skill Tables'!P32=1,"Command of Evidence","")),IF(PTKEY=7,IF('PT 6 Skill Tables'!O32=1,"Words in Context",IF('PT 6 Skill Tables'!P32=1,"Command of Evidence",""))))))))</f>
        <v>Command of Evidence</v>
      </c>
    </row>
    <row r="85" spans="1:7" ht="31.5" customHeight="1">
      <c r="A85" s="119">
        <v>29</v>
      </c>
      <c r="B85" s="119" t="str">
        <f>IF(Input!E38=""," ",Input!E38)</f>
        <v xml:space="preserve"> </v>
      </c>
      <c r="C85" s="119" t="str">
        <f>IF(PTKEY=2,'PT Answer Tables'!K32,IF(PTKEY=3,'PT Answer Tables'!L32, IF(PTKEY=4, 'PT Answer Tables'!M32, IF(PTKEY=5, 'PT Answer Tables'!N32, IF(PTKEY=6, 'PT Answer Tables'!O32,  IF(PTKEY=7, 'PT Answer Tables'!P32, 0))))))</f>
        <v>b</v>
      </c>
      <c r="D85" s="119" t="str">
        <f>IF(PTKEY=2,'PT 1 Skill Tables'!L33,IF(PTKEY=3,'PT 2 Skill Tables'!L33,IF(PTKEY=4,'PT 3 Skill Tables'!L33,IF(PTKEY=5,'PT 4 Skill Tables'!L33,IF(PTKEY=6,'PT 5 Skill Tables'!L33,IF(PTKEY=7,'PT 6 Skill Tables'!L33,0))))))</f>
        <v>Expression of Ideas</v>
      </c>
      <c r="E85" s="119" t="str">
        <f>IF(PTKEY=2,'PT 1 Skill Tables'!M33,IF(PTKEY=3,'PT 2 Skill Tables'!M33,IF(PTKEY=4,'PT 3 Skill Tables'!M33,IF(PTKEY=5,'PT 4 Skill Tables'!M33,IF(PTKEY=6,'PT 5 Skill Tables'!M33,IF(PTKEY=7,'PT 6 Skill Tables'!M33,0))))))</f>
        <v>Development</v>
      </c>
      <c r="F85" s="120" t="str">
        <f>IF(PTKEY=2,IF('PT 1 Skill Tables'!Q33=1,"History",IF('PT 1 Skill Tables'!R33=1,"Science","")),IF(PTKEY=3,IF('PT 2 Skill Tables'!Q33=1,"History",IF('PT 2 Skill Tables'!R33=1,"Science","")),IF(PTKEY=4,IF('PT 3 Skill Tables'!Q33=1,"History",IF('PT 3 Skill Tables'!R33=1,"Science","")),IF(PTKEY=5,IF('PT 4 Skill Tables'!Q33=1,"History",IF('PT 4 Skill Tables'!R33=1,"Science","")),IF(PTKEY=6,IF('PT 5 Skill Tables'!Q33=1,"History",IF('PT 5 Skill Tables'!R33=1,"Science","")),IF(PTKEY=7,IF('PT 6 Skill Tables'!Q33=1,"History",IF('PT 6 Skill Tables'!R33=1,"Science",""))))))))</f>
        <v/>
      </c>
      <c r="G85" s="120" t="str">
        <f>IF(PTKEY=2,IF('PT 1 Skill Tables'!O33=1,"Words in Context",IF('PT 1 Skill Tables'!P33=1,"Command of Evidence","")),IF(PTKEY=3,IF('PT 2 Skill Tables'!O33=1,"Words in Context",IF('PT 2 Skill Tables'!P33=1,"Command of Evidence","")),IF(PTKEY=4,IF('PT 3 Skill Tables'!O33=1,"Words in Context",IF('PT 3 Skill Tables'!P33=1,"Command of Evidence","")),IF(PTKEY=5,IF('PT 4 Skill Tables'!O33=1,"Words in Context",IF('PT 4 Skill Tables'!P33=1,"Command of Evidence","")),IF(PTKEY=6,IF('PT 5 Skill Tables'!O33=1,"Words in Context",IF('PT 5 Skill Tables'!P33=1,"Command of Evidence","")),IF(PTKEY=7,IF('PT 6 Skill Tables'!O33=1,"Words in Context",IF('PT 6 Skill Tables'!P33=1,"Command of Evidence",""))))))))</f>
        <v>Command of Evidence</v>
      </c>
    </row>
    <row r="86" spans="1:7" ht="31.5" customHeight="1">
      <c r="A86" s="119">
        <v>30</v>
      </c>
      <c r="B86" s="119" t="str">
        <f>IF(Input!E39=""," ",Input!E39)</f>
        <v xml:space="preserve"> </v>
      </c>
      <c r="C86" s="119" t="str">
        <f>IF(PTKEY=2,'PT Answer Tables'!K33,IF(PTKEY=3,'PT Answer Tables'!L33, IF(PTKEY=4, 'PT Answer Tables'!M33, IF(PTKEY=5, 'PT Answer Tables'!N33, IF(PTKEY=6, 'PT Answer Tables'!O33,  IF(PTKEY=7, 'PT Answer Tables'!P33, 0))))))</f>
        <v>d</v>
      </c>
      <c r="D86" s="119" t="str">
        <f>IF(PTKEY=2,'PT 1 Skill Tables'!L34,IF(PTKEY=3,'PT 2 Skill Tables'!L34,IF(PTKEY=4,'PT 3 Skill Tables'!L34,IF(PTKEY=5,'PT 4 Skill Tables'!L34,IF(PTKEY=6,'PT 5 Skill Tables'!L34,IF(PTKEY=7,'PT 6 Skill Tables'!L34,0))))))</f>
        <v>Standard English Conventions</v>
      </c>
      <c r="E86" s="119" t="str">
        <f>IF(PTKEY=2,'PT 1 Skill Tables'!M34,IF(PTKEY=3,'PT 2 Skill Tables'!M34,IF(PTKEY=4,'PT 3 Skill Tables'!M34,IF(PTKEY=5,'PT 4 Skill Tables'!M34,IF(PTKEY=6,'PT 5 Skill Tables'!M34,IF(PTKEY=7,'PT 6 Skill Tables'!M34,0))))))</f>
        <v>Conventions of Usage</v>
      </c>
      <c r="F86" s="120" t="str">
        <f>IF(PTKEY=2,IF('PT 1 Skill Tables'!Q34=1,"History",IF('PT 1 Skill Tables'!R34=1,"Science","")),IF(PTKEY=3,IF('PT 2 Skill Tables'!Q34=1,"History",IF('PT 2 Skill Tables'!R34=1,"Science","")),IF(PTKEY=4,IF('PT 3 Skill Tables'!Q34=1,"History",IF('PT 3 Skill Tables'!R34=1,"Science","")),IF(PTKEY=5,IF('PT 4 Skill Tables'!Q34=1,"History",IF('PT 4 Skill Tables'!R34=1,"Science","")),IF(PTKEY=6,IF('PT 5 Skill Tables'!Q34=1,"History",IF('PT 5 Skill Tables'!R34=1,"Science","")),IF(PTKEY=7,IF('PT 6 Skill Tables'!Q34=1,"History",IF('PT 6 Skill Tables'!R34=1,"Science",""))))))))</f>
        <v/>
      </c>
      <c r="G86" s="120" t="str">
        <f>IF(PTKEY=2,IF('PT 1 Skill Tables'!O34=1,"Words in Context",IF('PT 1 Skill Tables'!P34=1,"Command of Evidence","")),IF(PTKEY=3,IF('PT 2 Skill Tables'!O34=1,"Words in Context",IF('PT 2 Skill Tables'!P34=1,"Command of Evidence","")),IF(PTKEY=4,IF('PT 3 Skill Tables'!O34=1,"Words in Context",IF('PT 3 Skill Tables'!P34=1,"Command of Evidence","")),IF(PTKEY=5,IF('PT 4 Skill Tables'!O34=1,"Words in Context",IF('PT 4 Skill Tables'!P34=1,"Command of Evidence","")),IF(PTKEY=6,IF('PT 5 Skill Tables'!O34=1,"Words in Context",IF('PT 5 Skill Tables'!P34=1,"Command of Evidence","")),IF(PTKEY=7,IF('PT 6 Skill Tables'!O34=1,"Words in Context",IF('PT 6 Skill Tables'!P34=1,"Command of Evidence",""))))))))</f>
        <v/>
      </c>
    </row>
    <row r="87" spans="1:7" ht="31.5" customHeight="1">
      <c r="A87" s="119">
        <v>31</v>
      </c>
      <c r="B87" s="119" t="str">
        <f>IF(Input!E40=""," ",Input!E40)</f>
        <v xml:space="preserve"> </v>
      </c>
      <c r="C87" s="119" t="str">
        <f>IF(PTKEY=2,'PT Answer Tables'!K34,IF(PTKEY=3,'PT Answer Tables'!L34, IF(PTKEY=4, 'PT Answer Tables'!M34, IF(PTKEY=5, 'PT Answer Tables'!N34, IF(PTKEY=6, 'PT Answer Tables'!O34,  IF(PTKEY=7, 'PT Answer Tables'!P34, 0))))))</f>
        <v>c</v>
      </c>
      <c r="D87" s="119" t="str">
        <f>IF(PTKEY=2,'PT 1 Skill Tables'!L35,IF(PTKEY=3,'PT 2 Skill Tables'!L35,IF(PTKEY=4,'PT 3 Skill Tables'!L35,IF(PTKEY=5,'PT 4 Skill Tables'!L35,IF(PTKEY=6,'PT 5 Skill Tables'!L35,IF(PTKEY=7,'PT 6 Skill Tables'!L35,0))))))</f>
        <v>Expression of Ideas</v>
      </c>
      <c r="E87" s="119" t="str">
        <f>IF(PTKEY=2,'PT 1 Skill Tables'!M35,IF(PTKEY=3,'PT 2 Skill Tables'!M35,IF(PTKEY=4,'PT 3 Skill Tables'!M35,IF(PTKEY=5,'PT 4 Skill Tables'!M35,IF(PTKEY=6,'PT 5 Skill Tables'!M35,IF(PTKEY=7,'PT 6 Skill Tables'!M35,0))))))</f>
        <v>Development</v>
      </c>
      <c r="F87" s="120" t="str">
        <f>IF(PTKEY=2,IF('PT 1 Skill Tables'!Q35=1,"History",IF('PT 1 Skill Tables'!R35=1,"Science","")),IF(PTKEY=3,IF('PT 2 Skill Tables'!Q35=1,"History",IF('PT 2 Skill Tables'!R35=1,"Science","")),IF(PTKEY=4,IF('PT 3 Skill Tables'!Q35=1,"History",IF('PT 3 Skill Tables'!R35=1,"Science","")),IF(PTKEY=5,IF('PT 4 Skill Tables'!Q35=1,"History",IF('PT 4 Skill Tables'!R35=1,"Science","")),IF(PTKEY=6,IF('PT 5 Skill Tables'!Q35=1,"History",IF('PT 5 Skill Tables'!R35=1,"Science","")),IF(PTKEY=7,IF('PT 6 Skill Tables'!Q35=1,"History",IF('PT 6 Skill Tables'!R35=1,"Science",""))))))))</f>
        <v/>
      </c>
      <c r="G87" s="120" t="str">
        <f>IF(PTKEY=2,IF('PT 1 Skill Tables'!O35=1,"Words in Context",IF('PT 1 Skill Tables'!P35=1,"Command of Evidence","")),IF(PTKEY=3,IF('PT 2 Skill Tables'!O35=1,"Words in Context",IF('PT 2 Skill Tables'!P35=1,"Command of Evidence","")),IF(PTKEY=4,IF('PT 3 Skill Tables'!O35=1,"Words in Context",IF('PT 3 Skill Tables'!P35=1,"Command of Evidence","")),IF(PTKEY=5,IF('PT 4 Skill Tables'!O35=1,"Words in Context",IF('PT 4 Skill Tables'!P35=1,"Command of Evidence","")),IF(PTKEY=6,IF('PT 5 Skill Tables'!O35=1,"Words in Context",IF('PT 5 Skill Tables'!P35=1,"Command of Evidence","")),IF(PTKEY=7,IF('PT 6 Skill Tables'!O35=1,"Words in Context",IF('PT 6 Skill Tables'!P35=1,"Command of Evidence",""))))))))</f>
        <v/>
      </c>
    </row>
    <row r="88" spans="1:7" ht="31.5" customHeight="1">
      <c r="A88" s="119">
        <v>32</v>
      </c>
      <c r="B88" s="119" t="str">
        <f>IF(Input!E41=""," ",Input!E41)</f>
        <v xml:space="preserve"> </v>
      </c>
      <c r="C88" s="119" t="str">
        <f>IF(PTKEY=2,'PT Answer Tables'!K35,IF(PTKEY=3,'PT Answer Tables'!L35, IF(PTKEY=4, 'PT Answer Tables'!M35, IF(PTKEY=5, 'PT Answer Tables'!N35, IF(PTKEY=6, 'PT Answer Tables'!O35,  IF(PTKEY=7, 'PT Answer Tables'!P35, 0))))))</f>
        <v>a</v>
      </c>
      <c r="D88" s="119" t="str">
        <f>IF(PTKEY=2,'PT 1 Skill Tables'!L36,IF(PTKEY=3,'PT 2 Skill Tables'!L36,IF(PTKEY=4,'PT 3 Skill Tables'!L36,IF(PTKEY=5,'PT 4 Skill Tables'!L36,IF(PTKEY=6,'PT 5 Skill Tables'!L36,IF(PTKEY=7,'PT 6 Skill Tables'!L36,0))))))</f>
        <v>Standard English Conventions</v>
      </c>
      <c r="E88" s="119" t="str">
        <f>IF(PTKEY=2,'PT 1 Skill Tables'!M36,IF(PTKEY=3,'PT 2 Skill Tables'!M36,IF(PTKEY=4,'PT 3 Skill Tables'!M36,IF(PTKEY=5,'PT 4 Skill Tables'!M36,IF(PTKEY=6,'PT 5 Skill Tables'!M36,IF(PTKEY=7,'PT 6 Skill Tables'!M36,0))))))</f>
        <v>Punctuation</v>
      </c>
      <c r="F88" s="120" t="str">
        <f>IF(PTKEY=2,IF('PT 1 Skill Tables'!Q36=1,"History",IF('PT 1 Skill Tables'!R36=1,"Science","")),IF(PTKEY=3,IF('PT 2 Skill Tables'!Q36=1,"History",IF('PT 2 Skill Tables'!R36=1,"Science","")),IF(PTKEY=4,IF('PT 3 Skill Tables'!Q36=1,"History",IF('PT 3 Skill Tables'!R36=1,"Science","")),IF(PTKEY=5,IF('PT 4 Skill Tables'!Q36=1,"History",IF('PT 4 Skill Tables'!R36=1,"Science","")),IF(PTKEY=6,IF('PT 5 Skill Tables'!Q36=1,"History",IF('PT 5 Skill Tables'!R36=1,"Science","")),IF(PTKEY=7,IF('PT 6 Skill Tables'!Q36=1,"History",IF('PT 6 Skill Tables'!R36=1,"Science",""))))))))</f>
        <v/>
      </c>
      <c r="G88" s="120" t="str">
        <f>IF(PTKEY=2,IF('PT 1 Skill Tables'!O36=1,"Words in Context",IF('PT 1 Skill Tables'!P36=1,"Command of Evidence","")),IF(PTKEY=3,IF('PT 2 Skill Tables'!O36=1,"Words in Context",IF('PT 2 Skill Tables'!P36=1,"Command of Evidence","")),IF(PTKEY=4,IF('PT 3 Skill Tables'!O36=1,"Words in Context",IF('PT 3 Skill Tables'!P36=1,"Command of Evidence","")),IF(PTKEY=5,IF('PT 4 Skill Tables'!O36=1,"Words in Context",IF('PT 4 Skill Tables'!P36=1,"Command of Evidence","")),IF(PTKEY=6,IF('PT 5 Skill Tables'!O36=1,"Words in Context",IF('PT 5 Skill Tables'!P36=1,"Command of Evidence","")),IF(PTKEY=7,IF('PT 6 Skill Tables'!O36=1,"Words in Context",IF('PT 6 Skill Tables'!P36=1,"Command of Evidence",""))))))))</f>
        <v/>
      </c>
    </row>
    <row r="89" spans="1:7" ht="31.5" customHeight="1">
      <c r="A89" s="119">
        <v>33</v>
      </c>
      <c r="B89" s="119" t="str">
        <f>IF(Input!E42=""," ",Input!E42)</f>
        <v xml:space="preserve"> </v>
      </c>
      <c r="C89" s="119" t="str">
        <f>IF(PTKEY=2,'PT Answer Tables'!K36,IF(PTKEY=3,'PT Answer Tables'!L36, IF(PTKEY=4, 'PT Answer Tables'!M36, IF(PTKEY=5, 'PT Answer Tables'!N36, IF(PTKEY=6, 'PT Answer Tables'!O36,  IF(PTKEY=7, 'PT Answer Tables'!P36, 0))))))</f>
        <v>a</v>
      </c>
      <c r="D89" s="119" t="str">
        <f>IF(PTKEY=2,'PT 1 Skill Tables'!L37,IF(PTKEY=3,'PT 2 Skill Tables'!L37,IF(PTKEY=4,'PT 3 Skill Tables'!L37,IF(PTKEY=5,'PT 4 Skill Tables'!L37,IF(PTKEY=6,'PT 5 Skill Tables'!L37,IF(PTKEY=7,'PT 6 Skill Tables'!L37,0))))))</f>
        <v>Expression of Ideas</v>
      </c>
      <c r="E89" s="119" t="str">
        <f>IF(PTKEY=2,'PT 1 Skill Tables'!M37,IF(PTKEY=3,'PT 2 Skill Tables'!M37,IF(PTKEY=4,'PT 3 Skill Tables'!M37,IF(PTKEY=5,'PT 4 Skill Tables'!M37,IF(PTKEY=6,'PT 5 Skill Tables'!M37,IF(PTKEY=7,'PT 6 Skill Tables'!M37,0))))))</f>
        <v>Effective Language Use</v>
      </c>
      <c r="F89" s="120" t="str">
        <f>IF(PTKEY=2,IF('PT 1 Skill Tables'!Q37=1,"History",IF('PT 1 Skill Tables'!R37=1,"Science","")),IF(PTKEY=3,IF('PT 2 Skill Tables'!Q37=1,"History",IF('PT 2 Skill Tables'!R37=1,"Science","")),IF(PTKEY=4,IF('PT 3 Skill Tables'!Q37=1,"History",IF('PT 3 Skill Tables'!R37=1,"Science","")),IF(PTKEY=5,IF('PT 4 Skill Tables'!Q37=1,"History",IF('PT 4 Skill Tables'!R37=1,"Science","")),IF(PTKEY=6,IF('PT 5 Skill Tables'!Q37=1,"History",IF('PT 5 Skill Tables'!R37=1,"Science","")),IF(PTKEY=7,IF('PT 6 Skill Tables'!Q37=1,"History",IF('PT 6 Skill Tables'!R37=1,"Science",""))))))))</f>
        <v/>
      </c>
      <c r="G89" s="120" t="str">
        <f>IF(PTKEY=2,IF('PT 1 Skill Tables'!O37=1,"Words in Context",IF('PT 1 Skill Tables'!P37=1,"Command of Evidence","")),IF(PTKEY=3,IF('PT 2 Skill Tables'!O37=1,"Words in Context",IF('PT 2 Skill Tables'!P37=1,"Command of Evidence","")),IF(PTKEY=4,IF('PT 3 Skill Tables'!O37=1,"Words in Context",IF('PT 3 Skill Tables'!P37=1,"Command of Evidence","")),IF(PTKEY=5,IF('PT 4 Skill Tables'!O37=1,"Words in Context",IF('PT 4 Skill Tables'!P37=1,"Command of Evidence","")),IF(PTKEY=6,IF('PT 5 Skill Tables'!O37=1,"Words in Context",IF('PT 5 Skill Tables'!P37=1,"Command of Evidence","")),IF(PTKEY=7,IF('PT 6 Skill Tables'!O37=1,"Words in Context",IF('PT 6 Skill Tables'!P37=1,"Command of Evidence",""))))))))</f>
        <v>Words in Context</v>
      </c>
    </row>
    <row r="90" spans="1:7" ht="31.5" customHeight="1">
      <c r="A90" s="119">
        <v>34</v>
      </c>
      <c r="B90" s="119" t="str">
        <f>IF(Input!E43=""," ",Input!E43)</f>
        <v xml:space="preserve"> </v>
      </c>
      <c r="C90" s="119" t="str">
        <f>IF(PTKEY=2,'PT Answer Tables'!K37,IF(PTKEY=3,'PT Answer Tables'!L37, IF(PTKEY=4, 'PT Answer Tables'!M37, IF(PTKEY=5, 'PT Answer Tables'!N37, IF(PTKEY=6, 'PT Answer Tables'!O37,  IF(PTKEY=7, 'PT Answer Tables'!P37, 0))))))</f>
        <v>a</v>
      </c>
      <c r="D90" s="119" t="str">
        <f>IF(PTKEY=2,'PT 1 Skill Tables'!L38,IF(PTKEY=3,'PT 2 Skill Tables'!L38,IF(PTKEY=4,'PT 3 Skill Tables'!L38,IF(PTKEY=5,'PT 4 Skill Tables'!L38,IF(PTKEY=6,'PT 5 Skill Tables'!L38,IF(PTKEY=7,'PT 6 Skill Tables'!L38,0))))))</f>
        <v>Expression of Ideas</v>
      </c>
      <c r="E90" s="119" t="str">
        <f>IF(PTKEY=2,'PT 1 Skill Tables'!M38,IF(PTKEY=3,'PT 2 Skill Tables'!M38,IF(PTKEY=4,'PT 3 Skill Tables'!M38,IF(PTKEY=5,'PT 4 Skill Tables'!M38,IF(PTKEY=6,'PT 5 Skill Tables'!M38,IF(PTKEY=7,'PT 6 Skill Tables'!M38,0))))))</f>
        <v>Organization</v>
      </c>
      <c r="F90" s="120" t="str">
        <f>IF(PTKEY=2,IF('PT 1 Skill Tables'!Q38=1,"History",IF('PT 1 Skill Tables'!R38=1,"Science","")),IF(PTKEY=3,IF('PT 2 Skill Tables'!Q38=1,"History",IF('PT 2 Skill Tables'!R38=1,"Science","")),IF(PTKEY=4,IF('PT 3 Skill Tables'!Q38=1,"History",IF('PT 3 Skill Tables'!R38=1,"Science","")),IF(PTKEY=5,IF('PT 4 Skill Tables'!Q38=1,"History",IF('PT 4 Skill Tables'!R38=1,"Science","")),IF(PTKEY=6,IF('PT 5 Skill Tables'!Q38=1,"History",IF('PT 5 Skill Tables'!R38=1,"Science","")),IF(PTKEY=7,IF('PT 6 Skill Tables'!Q38=1,"History",IF('PT 6 Skill Tables'!R38=1,"Science",""))))))))</f>
        <v/>
      </c>
      <c r="G90" s="120" t="str">
        <f>IF(PTKEY=2,IF('PT 1 Skill Tables'!O38=1,"Words in Context",IF('PT 1 Skill Tables'!P38=1,"Command of Evidence","")),IF(PTKEY=3,IF('PT 2 Skill Tables'!O38=1,"Words in Context",IF('PT 2 Skill Tables'!P38=1,"Command of Evidence","")),IF(PTKEY=4,IF('PT 3 Skill Tables'!O38=1,"Words in Context",IF('PT 3 Skill Tables'!P38=1,"Command of Evidence","")),IF(PTKEY=5,IF('PT 4 Skill Tables'!O38=1,"Words in Context",IF('PT 4 Skill Tables'!P38=1,"Command of Evidence","")),IF(PTKEY=6,IF('PT 5 Skill Tables'!O38=1,"Words in Context",IF('PT 5 Skill Tables'!P38=1,"Command of Evidence","")),IF(PTKEY=7,IF('PT 6 Skill Tables'!O38=1,"Words in Context",IF('PT 6 Skill Tables'!P38=1,"Command of Evidence",""))))))))</f>
        <v/>
      </c>
    </row>
    <row r="91" spans="1:7" ht="31.5" customHeight="1">
      <c r="A91" s="119">
        <v>35</v>
      </c>
      <c r="B91" s="119" t="str">
        <f>IF(Input!E44=""," ",Input!E44)</f>
        <v xml:space="preserve"> </v>
      </c>
      <c r="C91" s="119" t="str">
        <f>IF(PTKEY=2,'PT Answer Tables'!K38,IF(PTKEY=3,'PT Answer Tables'!L38, IF(PTKEY=4, 'PT Answer Tables'!M38, IF(PTKEY=5, 'PT Answer Tables'!N38, IF(PTKEY=6, 'PT Answer Tables'!O38,  IF(PTKEY=7, 'PT Answer Tables'!P38, 0))))))</f>
        <v>a</v>
      </c>
      <c r="D91" s="119" t="str">
        <f>IF(PTKEY=2,'PT 1 Skill Tables'!L39,IF(PTKEY=3,'PT 2 Skill Tables'!L39,IF(PTKEY=4,'PT 3 Skill Tables'!L39,IF(PTKEY=5,'PT 4 Skill Tables'!L39,IF(PTKEY=6,'PT 5 Skill Tables'!L39,IF(PTKEY=7,'PT 6 Skill Tables'!L39,0))))))</f>
        <v>Expression of Ideas</v>
      </c>
      <c r="E91" s="119" t="str">
        <f>IF(PTKEY=2,'PT 1 Skill Tables'!M39,IF(PTKEY=3,'PT 2 Skill Tables'!M39,IF(PTKEY=4,'PT 3 Skill Tables'!M39,IF(PTKEY=5,'PT 4 Skill Tables'!M39,IF(PTKEY=6,'PT 5 Skill Tables'!M39,IF(PTKEY=7,'PT 6 Skill Tables'!M39,0))))))</f>
        <v>Effective Language Use</v>
      </c>
      <c r="F91" s="120" t="str">
        <f>IF(PTKEY=2,IF('PT 1 Skill Tables'!Q39=1,"History",IF('PT 1 Skill Tables'!R39=1,"Science","")),IF(PTKEY=3,IF('PT 2 Skill Tables'!Q39=1,"History",IF('PT 2 Skill Tables'!R39=1,"Science","")),IF(PTKEY=4,IF('PT 3 Skill Tables'!Q39=1,"History",IF('PT 3 Skill Tables'!R39=1,"Science","")),IF(PTKEY=5,IF('PT 4 Skill Tables'!Q39=1,"History",IF('PT 4 Skill Tables'!R39=1,"Science","")),IF(PTKEY=6,IF('PT 5 Skill Tables'!Q39=1,"History",IF('PT 5 Skill Tables'!R39=1,"Science","")),IF(PTKEY=7,IF('PT 6 Skill Tables'!Q39=1,"History",IF('PT 6 Skill Tables'!R39=1,"Science",""))))))))</f>
        <v/>
      </c>
      <c r="G91" s="120" t="str">
        <f>IF(PTKEY=2,IF('PT 1 Skill Tables'!O39=1,"Words in Context",IF('PT 1 Skill Tables'!P39=1,"Command of Evidence","")),IF(PTKEY=3,IF('PT 2 Skill Tables'!O39=1,"Words in Context",IF('PT 2 Skill Tables'!P39=1,"Command of Evidence","")),IF(PTKEY=4,IF('PT 3 Skill Tables'!O39=1,"Words in Context",IF('PT 3 Skill Tables'!P39=1,"Command of Evidence","")),IF(PTKEY=5,IF('PT 4 Skill Tables'!O39=1,"Words in Context",IF('PT 4 Skill Tables'!P39=1,"Command of Evidence","")),IF(PTKEY=6,IF('PT 5 Skill Tables'!O39=1,"Words in Context",IF('PT 5 Skill Tables'!P39=1,"Command of Evidence","")),IF(PTKEY=7,IF('PT 6 Skill Tables'!O39=1,"Words in Context",IF('PT 6 Skill Tables'!P39=1,"Command of Evidence",""))))))))</f>
        <v>Words in Context</v>
      </c>
    </row>
    <row r="92" spans="1:7" ht="31.5" customHeight="1">
      <c r="A92" s="119">
        <v>36</v>
      </c>
      <c r="B92" s="119" t="str">
        <f>IF(Input!E45=""," ",Input!E45)</f>
        <v xml:space="preserve"> </v>
      </c>
      <c r="C92" s="119" t="str">
        <f>IF(PTKEY=2,'PT Answer Tables'!K39,IF(PTKEY=3,'PT Answer Tables'!L39, IF(PTKEY=4, 'PT Answer Tables'!M39, IF(PTKEY=5, 'PT Answer Tables'!N39, IF(PTKEY=6, 'PT Answer Tables'!O39,  IF(PTKEY=7, 'PT Answer Tables'!P39, 0))))))</f>
        <v>b</v>
      </c>
      <c r="D92" s="119" t="str">
        <f>IF(PTKEY=2,'PT 1 Skill Tables'!L40,IF(PTKEY=3,'PT 2 Skill Tables'!L40,IF(PTKEY=4,'PT 3 Skill Tables'!L40,IF(PTKEY=5,'PT 4 Skill Tables'!L40,IF(PTKEY=6,'PT 5 Skill Tables'!L40,IF(PTKEY=7,'PT 6 Skill Tables'!L40,0))))))</f>
        <v>Standard English Conventions</v>
      </c>
      <c r="E92" s="119" t="str">
        <f>IF(PTKEY=2,'PT 1 Skill Tables'!M40,IF(PTKEY=3,'PT 2 Skill Tables'!M40,IF(PTKEY=4,'PT 3 Skill Tables'!M40,IF(PTKEY=5,'PT 4 Skill Tables'!M40,IF(PTKEY=6,'PT 5 Skill Tables'!M40,IF(PTKEY=7,'PT 6 Skill Tables'!M40,0))))))</f>
        <v>Sentence Structure</v>
      </c>
      <c r="F92" s="120" t="str">
        <f>IF(PTKEY=2,IF('PT 1 Skill Tables'!Q40=1,"History",IF('PT 1 Skill Tables'!R40=1,"Science","")),IF(PTKEY=3,IF('PT 2 Skill Tables'!Q40=1,"History",IF('PT 2 Skill Tables'!R40=1,"Science","")),IF(PTKEY=4,IF('PT 3 Skill Tables'!Q40=1,"History",IF('PT 3 Skill Tables'!R40=1,"Science","")),IF(PTKEY=5,IF('PT 4 Skill Tables'!Q40=1,"History",IF('PT 4 Skill Tables'!R40=1,"Science","")),IF(PTKEY=6,IF('PT 5 Skill Tables'!Q40=1,"History",IF('PT 5 Skill Tables'!R40=1,"Science","")),IF(PTKEY=7,IF('PT 6 Skill Tables'!Q40=1,"History",IF('PT 6 Skill Tables'!R40=1,"Science",""))))))))</f>
        <v/>
      </c>
      <c r="G92" s="120" t="str">
        <f>IF(PTKEY=2,IF('PT 1 Skill Tables'!O40=1,"Words in Context",IF('PT 1 Skill Tables'!P40=1,"Command of Evidence","")),IF(PTKEY=3,IF('PT 2 Skill Tables'!O40=1,"Words in Context",IF('PT 2 Skill Tables'!P40=1,"Command of Evidence","")),IF(PTKEY=4,IF('PT 3 Skill Tables'!O40=1,"Words in Context",IF('PT 3 Skill Tables'!P40=1,"Command of Evidence","")),IF(PTKEY=5,IF('PT 4 Skill Tables'!O40=1,"Words in Context",IF('PT 4 Skill Tables'!P40=1,"Command of Evidence","")),IF(PTKEY=6,IF('PT 5 Skill Tables'!O40=1,"Words in Context",IF('PT 5 Skill Tables'!P40=1,"Command of Evidence","")),IF(PTKEY=7,IF('PT 6 Skill Tables'!O40=1,"Words in Context",IF('PT 6 Skill Tables'!P40=1,"Command of Evidence",""))))))))</f>
        <v/>
      </c>
    </row>
    <row r="93" spans="1:7" ht="31.5" customHeight="1">
      <c r="A93" s="119">
        <v>37</v>
      </c>
      <c r="B93" s="119" t="str">
        <f>IF(Input!E46=""," ",Input!E46)</f>
        <v xml:space="preserve"> </v>
      </c>
      <c r="C93" s="119" t="str">
        <f>IF(PTKEY=2,'PT Answer Tables'!K40,IF(PTKEY=3,'PT Answer Tables'!L40, IF(PTKEY=4, 'PT Answer Tables'!M40, IF(PTKEY=5, 'PT Answer Tables'!N40, IF(PTKEY=6, 'PT Answer Tables'!O40,  IF(PTKEY=7, 'PT Answer Tables'!P40, 0))))))</f>
        <v>d</v>
      </c>
      <c r="D93" s="119" t="str">
        <f>IF(PTKEY=2,'PT 1 Skill Tables'!L41,IF(PTKEY=3,'PT 2 Skill Tables'!L41,IF(PTKEY=4,'PT 3 Skill Tables'!L41,IF(PTKEY=5,'PT 4 Skill Tables'!L41,IF(PTKEY=6,'PT 5 Skill Tables'!L41,IF(PTKEY=7,'PT 6 Skill Tables'!L41,0))))))</f>
        <v>Expression of Ideas</v>
      </c>
      <c r="E93" s="119" t="str">
        <f>IF(PTKEY=2,'PT 1 Skill Tables'!M41,IF(PTKEY=3,'PT 2 Skill Tables'!M41,IF(PTKEY=4,'PT 3 Skill Tables'!M41,IF(PTKEY=5,'PT 4 Skill Tables'!M41,IF(PTKEY=6,'PT 5 Skill Tables'!M41,IF(PTKEY=7,'PT 6 Skill Tables'!M41,0))))))</f>
        <v>Organization</v>
      </c>
      <c r="F93" s="120" t="str">
        <f>IF(PTKEY=2,IF('PT 1 Skill Tables'!Q41=1,"History",IF('PT 1 Skill Tables'!R41=1,"Science","")),IF(PTKEY=3,IF('PT 2 Skill Tables'!Q41=1,"History",IF('PT 2 Skill Tables'!R41=1,"Science","")),IF(PTKEY=4,IF('PT 3 Skill Tables'!Q41=1,"History",IF('PT 3 Skill Tables'!R41=1,"Science","")),IF(PTKEY=5,IF('PT 4 Skill Tables'!Q41=1,"History",IF('PT 4 Skill Tables'!R41=1,"Science","")),IF(PTKEY=6,IF('PT 5 Skill Tables'!Q41=1,"History",IF('PT 5 Skill Tables'!R41=1,"Science","")),IF(PTKEY=7,IF('PT 6 Skill Tables'!Q41=1,"History",IF('PT 6 Skill Tables'!R41=1,"Science",""))))))))</f>
        <v/>
      </c>
      <c r="G93" s="120" t="str">
        <f>IF(PTKEY=2,IF('PT 1 Skill Tables'!O41=1,"Words in Context",IF('PT 1 Skill Tables'!P41=1,"Command of Evidence","")),IF(PTKEY=3,IF('PT 2 Skill Tables'!O41=1,"Words in Context",IF('PT 2 Skill Tables'!P41=1,"Command of Evidence","")),IF(PTKEY=4,IF('PT 3 Skill Tables'!O41=1,"Words in Context",IF('PT 3 Skill Tables'!P41=1,"Command of Evidence","")),IF(PTKEY=5,IF('PT 4 Skill Tables'!O41=1,"Words in Context",IF('PT 4 Skill Tables'!P41=1,"Command of Evidence","")),IF(PTKEY=6,IF('PT 5 Skill Tables'!O41=1,"Words in Context",IF('PT 5 Skill Tables'!P41=1,"Command of Evidence","")),IF(PTKEY=7,IF('PT 6 Skill Tables'!O41=1,"Words in Context",IF('PT 6 Skill Tables'!P41=1,"Command of Evidence",""))))))))</f>
        <v>Command of Evidence</v>
      </c>
    </row>
    <row r="94" spans="1:7" ht="31.5" customHeight="1">
      <c r="A94" s="119">
        <v>38</v>
      </c>
      <c r="B94" s="119" t="str">
        <f>IF(Input!E47=""," ",Input!E47)</f>
        <v xml:space="preserve"> </v>
      </c>
      <c r="C94" s="119" t="str">
        <f>IF(PTKEY=2,'PT Answer Tables'!K41,IF(PTKEY=3,'PT Answer Tables'!L41, IF(PTKEY=4, 'PT Answer Tables'!M41, IF(PTKEY=5, 'PT Answer Tables'!N41, IF(PTKEY=6, 'PT Answer Tables'!O41,  IF(PTKEY=7, 'PT Answer Tables'!P41, 0))))))</f>
        <v>c</v>
      </c>
      <c r="D94" s="119" t="str">
        <f>IF(PTKEY=2,'PT 1 Skill Tables'!L42,IF(PTKEY=3,'PT 2 Skill Tables'!L42,IF(PTKEY=4,'PT 3 Skill Tables'!L42,IF(PTKEY=5,'PT 4 Skill Tables'!L42,IF(PTKEY=6,'PT 5 Skill Tables'!L42,IF(PTKEY=7,'PT 6 Skill Tables'!L42,0))))))</f>
        <v>Expression of Ideas</v>
      </c>
      <c r="E94" s="119" t="str">
        <f>IF(PTKEY=2,'PT 1 Skill Tables'!M42,IF(PTKEY=3,'PT 2 Skill Tables'!M42,IF(PTKEY=4,'PT 3 Skill Tables'!M42,IF(PTKEY=5,'PT 4 Skill Tables'!M42,IF(PTKEY=6,'PT 5 Skill Tables'!M42,IF(PTKEY=7,'PT 6 Skill Tables'!M42,0))))))</f>
        <v>Organization</v>
      </c>
      <c r="F94" s="120" t="str">
        <f>IF(PTKEY=2,IF('PT 1 Skill Tables'!Q42=1,"History",IF('PT 1 Skill Tables'!R42=1,"Science","")),IF(PTKEY=3,IF('PT 2 Skill Tables'!Q42=1,"History",IF('PT 2 Skill Tables'!R42=1,"Science","")),IF(PTKEY=4,IF('PT 3 Skill Tables'!Q42=1,"History",IF('PT 3 Skill Tables'!R42=1,"Science","")),IF(PTKEY=5,IF('PT 4 Skill Tables'!Q42=1,"History",IF('PT 4 Skill Tables'!R42=1,"Science","")),IF(PTKEY=6,IF('PT 5 Skill Tables'!Q42=1,"History",IF('PT 5 Skill Tables'!R42=1,"Science","")),IF(PTKEY=7,IF('PT 6 Skill Tables'!Q42=1,"History",IF('PT 6 Skill Tables'!R42=1,"Science",""))))))))</f>
        <v/>
      </c>
      <c r="G94" s="120" t="str">
        <f>IF(PTKEY=2,IF('PT 1 Skill Tables'!O42=1,"Words in Context",IF('PT 1 Skill Tables'!P42=1,"Command of Evidence","")),IF(PTKEY=3,IF('PT 2 Skill Tables'!O42=1,"Words in Context",IF('PT 2 Skill Tables'!P42=1,"Command of Evidence","")),IF(PTKEY=4,IF('PT 3 Skill Tables'!O42=1,"Words in Context",IF('PT 3 Skill Tables'!P42=1,"Command of Evidence","")),IF(PTKEY=5,IF('PT 4 Skill Tables'!O42=1,"Words in Context",IF('PT 4 Skill Tables'!P42=1,"Command of Evidence","")),IF(PTKEY=6,IF('PT 5 Skill Tables'!O42=1,"Words in Context",IF('PT 5 Skill Tables'!P42=1,"Command of Evidence","")),IF(PTKEY=7,IF('PT 6 Skill Tables'!O42=1,"Words in Context",IF('PT 6 Skill Tables'!P42=1,"Command of Evidence",""))))))))</f>
        <v/>
      </c>
    </row>
    <row r="95" spans="1:7" ht="31.5" customHeight="1">
      <c r="A95" s="119">
        <v>39</v>
      </c>
      <c r="B95" s="119" t="str">
        <f>IF(Input!E48=""," ",Input!E48)</f>
        <v xml:space="preserve"> </v>
      </c>
      <c r="C95" s="119" t="str">
        <f>IF(PTKEY=2,'PT Answer Tables'!K42,IF(PTKEY=3,'PT Answer Tables'!L42, IF(PTKEY=4, 'PT Answer Tables'!M42, IF(PTKEY=5, 'PT Answer Tables'!N42, IF(PTKEY=6, 'PT Answer Tables'!O42,  IF(PTKEY=7, 'PT Answer Tables'!P42, 0))))))</f>
        <v>a</v>
      </c>
      <c r="D95" s="119" t="str">
        <f>IF(PTKEY=2,'PT 1 Skill Tables'!L43,IF(PTKEY=3,'PT 2 Skill Tables'!L43,IF(PTKEY=4,'PT 3 Skill Tables'!L43,IF(PTKEY=5,'PT 4 Skill Tables'!L43,IF(PTKEY=6,'PT 5 Skill Tables'!L43,IF(PTKEY=7,'PT 6 Skill Tables'!L43,0))))))</f>
        <v>Expression of Ideas</v>
      </c>
      <c r="E95" s="119" t="str">
        <f>IF(PTKEY=2,'PT 1 Skill Tables'!M43,IF(PTKEY=3,'PT 2 Skill Tables'!M43,IF(PTKEY=4,'PT 3 Skill Tables'!M43,IF(PTKEY=5,'PT 4 Skill Tables'!M43,IF(PTKEY=6,'PT 5 Skill Tables'!M43,IF(PTKEY=7,'PT 6 Skill Tables'!M43,0))))))</f>
        <v>Effective Language Use</v>
      </c>
      <c r="F95" s="120" t="str">
        <f>IF(PTKEY=2,IF('PT 1 Skill Tables'!Q43=1,"History",IF('PT 1 Skill Tables'!R43=1,"Science","")),IF(PTKEY=3,IF('PT 2 Skill Tables'!Q43=1,"History",IF('PT 2 Skill Tables'!R43=1,"Science","")),IF(PTKEY=4,IF('PT 3 Skill Tables'!Q43=1,"History",IF('PT 3 Skill Tables'!R43=1,"Science","")),IF(PTKEY=5,IF('PT 4 Skill Tables'!Q43=1,"History",IF('PT 4 Skill Tables'!R43=1,"Science","")),IF(PTKEY=6,IF('PT 5 Skill Tables'!Q43=1,"History",IF('PT 5 Skill Tables'!R43=1,"Science","")),IF(PTKEY=7,IF('PT 6 Skill Tables'!Q43=1,"History",IF('PT 6 Skill Tables'!R43=1,"Science",""))))))))</f>
        <v/>
      </c>
      <c r="G95" s="120" t="str">
        <f>IF(PTKEY=2,IF('PT 1 Skill Tables'!O43=1,"Words in Context",IF('PT 1 Skill Tables'!P43=1,"Command of Evidence","")),IF(PTKEY=3,IF('PT 2 Skill Tables'!O43=1,"Words in Context",IF('PT 2 Skill Tables'!P43=1,"Command of Evidence","")),IF(PTKEY=4,IF('PT 3 Skill Tables'!O43=1,"Words in Context",IF('PT 3 Skill Tables'!P43=1,"Command of Evidence","")),IF(PTKEY=5,IF('PT 4 Skill Tables'!O43=1,"Words in Context",IF('PT 4 Skill Tables'!P43=1,"Command of Evidence","")),IF(PTKEY=6,IF('PT 5 Skill Tables'!O43=1,"Words in Context",IF('PT 5 Skill Tables'!P43=1,"Command of Evidence","")),IF(PTKEY=7,IF('PT 6 Skill Tables'!O43=1,"Words in Context",IF('PT 6 Skill Tables'!P43=1,"Command of Evidence",""))))))))</f>
        <v>Words in Context</v>
      </c>
    </row>
    <row r="96" spans="1:7" ht="31.5" customHeight="1">
      <c r="A96" s="119">
        <v>40</v>
      </c>
      <c r="B96" s="119" t="str">
        <f>IF(Input!E49=""," ",Input!E49)</f>
        <v xml:space="preserve"> </v>
      </c>
      <c r="C96" s="119" t="str">
        <f>IF(PTKEY=2,'PT Answer Tables'!K43,IF(PTKEY=3,'PT Answer Tables'!L43, IF(PTKEY=4, 'PT Answer Tables'!M43, IF(PTKEY=5, 'PT Answer Tables'!N43, IF(PTKEY=6, 'PT Answer Tables'!O43,  IF(PTKEY=7, 'PT Answer Tables'!P43, 0))))))</f>
        <v>b</v>
      </c>
      <c r="D96" s="119" t="str">
        <f>IF(PTKEY=2,'PT 1 Skill Tables'!L44,IF(PTKEY=3,'PT 2 Skill Tables'!L44,IF(PTKEY=4,'PT 3 Skill Tables'!L44,IF(PTKEY=5,'PT 4 Skill Tables'!L44,IF(PTKEY=6,'PT 5 Skill Tables'!L44,IF(PTKEY=7,'PT 6 Skill Tables'!L44,0))))))</f>
        <v>Standard English Conventions</v>
      </c>
      <c r="E96" s="119" t="str">
        <f>IF(PTKEY=2,'PT 1 Skill Tables'!M44,IF(PTKEY=3,'PT 2 Skill Tables'!M44,IF(PTKEY=4,'PT 3 Skill Tables'!M44,IF(PTKEY=5,'PT 4 Skill Tables'!M44,IF(PTKEY=6,'PT 5 Skill Tables'!M44,IF(PTKEY=7,'PT 6 Skill Tables'!M44,0))))))</f>
        <v>Sentence Structure</v>
      </c>
      <c r="F96" s="120" t="str">
        <f>IF(PTKEY=2,IF('PT 1 Skill Tables'!Q44=1,"History",IF('PT 1 Skill Tables'!R44=1,"Science","")),IF(PTKEY=3,IF('PT 2 Skill Tables'!Q44=1,"History",IF('PT 2 Skill Tables'!R44=1,"Science","")),IF(PTKEY=4,IF('PT 3 Skill Tables'!Q44=1,"History",IF('PT 3 Skill Tables'!R44=1,"Science","")),IF(PTKEY=5,IF('PT 4 Skill Tables'!Q44=1,"History",IF('PT 4 Skill Tables'!R44=1,"Science","")),IF(PTKEY=6,IF('PT 5 Skill Tables'!Q44=1,"History",IF('PT 5 Skill Tables'!R44=1,"Science","")),IF(PTKEY=7,IF('PT 6 Skill Tables'!Q44=1,"History",IF('PT 6 Skill Tables'!R44=1,"Science",""))))))))</f>
        <v/>
      </c>
      <c r="G96" s="120" t="str">
        <f>IF(PTKEY=2,IF('PT 1 Skill Tables'!O44=1,"Words in Context",IF('PT 1 Skill Tables'!P44=1,"Command of Evidence","")),IF(PTKEY=3,IF('PT 2 Skill Tables'!O44=1,"Words in Context",IF('PT 2 Skill Tables'!P44=1,"Command of Evidence","")),IF(PTKEY=4,IF('PT 3 Skill Tables'!O44=1,"Words in Context",IF('PT 3 Skill Tables'!P44=1,"Command of Evidence","")),IF(PTKEY=5,IF('PT 4 Skill Tables'!O44=1,"Words in Context",IF('PT 4 Skill Tables'!P44=1,"Command of Evidence","")),IF(PTKEY=6,IF('PT 5 Skill Tables'!O44=1,"Words in Context",IF('PT 5 Skill Tables'!P44=1,"Command of Evidence","")),IF(PTKEY=7,IF('PT 6 Skill Tables'!O44=1,"Words in Context",IF('PT 6 Skill Tables'!P44=1,"Command of Evidence",""))))))))</f>
        <v/>
      </c>
    </row>
    <row r="97" spans="1:7" ht="31.5" customHeight="1">
      <c r="A97" s="119">
        <v>41</v>
      </c>
      <c r="B97" s="119" t="str">
        <f>IF(Input!E50=""," ",Input!E50)</f>
        <v xml:space="preserve"> </v>
      </c>
      <c r="C97" s="119" t="str">
        <f>IF(PTKEY=2,'PT Answer Tables'!K44,IF(PTKEY=3,'PT Answer Tables'!L44, IF(PTKEY=4, 'PT Answer Tables'!M44, IF(PTKEY=5, 'PT Answer Tables'!N44, IF(PTKEY=6, 'PT Answer Tables'!O44,  IF(PTKEY=7, 'PT Answer Tables'!P44, 0))))))</f>
        <v>b</v>
      </c>
      <c r="D97" s="119" t="str">
        <f>IF(PTKEY=2,'PT 1 Skill Tables'!L45,IF(PTKEY=3,'PT 2 Skill Tables'!L45,IF(PTKEY=4,'PT 3 Skill Tables'!L45,IF(PTKEY=5,'PT 4 Skill Tables'!L45,IF(PTKEY=6,'PT 5 Skill Tables'!L45,IF(PTKEY=7,'PT 6 Skill Tables'!L45,0))))))</f>
        <v>Standard English Conventions</v>
      </c>
      <c r="E97" s="119" t="str">
        <f>IF(PTKEY=2,'PT 1 Skill Tables'!M45,IF(PTKEY=3,'PT 2 Skill Tables'!M45,IF(PTKEY=4,'PT 3 Skill Tables'!M45,IF(PTKEY=5,'PT 4 Skill Tables'!M45,IF(PTKEY=6,'PT 5 Skill Tables'!M45,IF(PTKEY=7,'PT 6 Skill Tables'!M45,0))))))</f>
        <v>Punctuation</v>
      </c>
      <c r="F97" s="120" t="str">
        <f>IF(PTKEY=2,IF('PT 1 Skill Tables'!Q45=1,"History",IF('PT 1 Skill Tables'!R45=1,"Science","")),IF(PTKEY=3,IF('PT 2 Skill Tables'!Q45=1,"History",IF('PT 2 Skill Tables'!R45=1,"Science","")),IF(PTKEY=4,IF('PT 3 Skill Tables'!Q45=1,"History",IF('PT 3 Skill Tables'!R45=1,"Science","")),IF(PTKEY=5,IF('PT 4 Skill Tables'!Q45=1,"History",IF('PT 4 Skill Tables'!R45=1,"Science","")),IF(PTKEY=6,IF('PT 5 Skill Tables'!Q45=1,"History",IF('PT 5 Skill Tables'!R45=1,"Science","")),IF(PTKEY=7,IF('PT 6 Skill Tables'!Q45=1,"History",IF('PT 6 Skill Tables'!R45=1,"Science",""))))))))</f>
        <v/>
      </c>
      <c r="G97" s="120" t="str">
        <f>IF(PTKEY=2,IF('PT 1 Skill Tables'!O45=1,"Words in Context",IF('PT 1 Skill Tables'!P45=1,"Command of Evidence","")),IF(PTKEY=3,IF('PT 2 Skill Tables'!O45=1,"Words in Context",IF('PT 2 Skill Tables'!P45=1,"Command of Evidence","")),IF(PTKEY=4,IF('PT 3 Skill Tables'!O45=1,"Words in Context",IF('PT 3 Skill Tables'!P45=1,"Command of Evidence","")),IF(PTKEY=5,IF('PT 4 Skill Tables'!O45=1,"Words in Context",IF('PT 4 Skill Tables'!P45=1,"Command of Evidence","")),IF(PTKEY=6,IF('PT 5 Skill Tables'!O45=1,"Words in Context",IF('PT 5 Skill Tables'!P45=1,"Command of Evidence","")),IF(PTKEY=7,IF('PT 6 Skill Tables'!O45=1,"Words in Context",IF('PT 6 Skill Tables'!P45=1,"Command of Evidence",""))))))))</f>
        <v/>
      </c>
    </row>
    <row r="98" spans="1:7" ht="31.5" customHeight="1">
      <c r="A98" s="119">
        <v>42</v>
      </c>
      <c r="B98" s="119" t="str">
        <f>IF(Input!E51=""," ",Input!E51)</f>
        <v xml:space="preserve"> </v>
      </c>
      <c r="C98" s="119" t="str">
        <f>IF(PTKEY=2,'PT Answer Tables'!K45,IF(PTKEY=3,'PT Answer Tables'!L45, IF(PTKEY=4, 'PT Answer Tables'!M45, IF(PTKEY=5, 'PT Answer Tables'!N45, IF(PTKEY=6, 'PT Answer Tables'!O45,  IF(PTKEY=7, 'PT Answer Tables'!P45, 0))))))</f>
        <v>c</v>
      </c>
      <c r="D98" s="119" t="str">
        <f>IF(PTKEY=2,'PT 1 Skill Tables'!L46,IF(PTKEY=3,'PT 2 Skill Tables'!L46,IF(PTKEY=4,'PT 3 Skill Tables'!L46,IF(PTKEY=5,'PT 4 Skill Tables'!L46,IF(PTKEY=6,'PT 5 Skill Tables'!L46,IF(PTKEY=7,'PT 6 Skill Tables'!L46,0))))))</f>
        <v>Expression of Ideas</v>
      </c>
      <c r="E98" s="119" t="str">
        <f>IF(PTKEY=2,'PT 1 Skill Tables'!M46,IF(PTKEY=3,'PT 2 Skill Tables'!M46,IF(PTKEY=4,'PT 3 Skill Tables'!M46,IF(PTKEY=5,'PT 4 Skill Tables'!M46,IF(PTKEY=6,'PT 5 Skill Tables'!M46,IF(PTKEY=7,'PT 6 Skill Tables'!M46,0))))))</f>
        <v>Development</v>
      </c>
      <c r="F98" s="120" t="str">
        <f>IF(PTKEY=2,IF('PT 1 Skill Tables'!Q46=1,"History",IF('PT 1 Skill Tables'!R46=1,"Science","")),IF(PTKEY=3,IF('PT 2 Skill Tables'!Q46=1,"History",IF('PT 2 Skill Tables'!R46=1,"Science","")),IF(PTKEY=4,IF('PT 3 Skill Tables'!Q46=1,"History",IF('PT 3 Skill Tables'!R46=1,"Science","")),IF(PTKEY=5,IF('PT 4 Skill Tables'!Q46=1,"History",IF('PT 4 Skill Tables'!R46=1,"Science","")),IF(PTKEY=6,IF('PT 5 Skill Tables'!Q46=1,"History",IF('PT 5 Skill Tables'!R46=1,"Science","")),IF(PTKEY=7,IF('PT 6 Skill Tables'!Q46=1,"History",IF('PT 6 Skill Tables'!R46=1,"Science",""))))))))</f>
        <v/>
      </c>
      <c r="G98" s="120" t="str">
        <f>IF(PTKEY=2,IF('PT 1 Skill Tables'!O46=1,"Words in Context",IF('PT 1 Skill Tables'!P46=1,"Command of Evidence","")),IF(PTKEY=3,IF('PT 2 Skill Tables'!O46=1,"Words in Context",IF('PT 2 Skill Tables'!P46=1,"Command of Evidence","")),IF(PTKEY=4,IF('PT 3 Skill Tables'!O46=1,"Words in Context",IF('PT 3 Skill Tables'!P46=1,"Command of Evidence","")),IF(PTKEY=5,IF('PT 4 Skill Tables'!O46=1,"Words in Context",IF('PT 4 Skill Tables'!P46=1,"Command of Evidence","")),IF(PTKEY=6,IF('PT 5 Skill Tables'!O46=1,"Words in Context",IF('PT 5 Skill Tables'!P46=1,"Command of Evidence","")),IF(PTKEY=7,IF('PT 6 Skill Tables'!O46=1,"Words in Context",IF('PT 6 Skill Tables'!P46=1,"Command of Evidence",""))))))))</f>
        <v>Command of Evidence</v>
      </c>
    </row>
    <row r="99" spans="1:7" ht="31.5" customHeight="1">
      <c r="A99" s="119">
        <v>43</v>
      </c>
      <c r="B99" s="119" t="str">
        <f>IF(Input!E52=""," ",Input!E52)</f>
        <v xml:space="preserve"> </v>
      </c>
      <c r="C99" s="119" t="str">
        <f>IF(PTKEY=2,'PT Answer Tables'!K46,IF(PTKEY=3,'PT Answer Tables'!L46, IF(PTKEY=4, 'PT Answer Tables'!M46, IF(PTKEY=5, 'PT Answer Tables'!N46, IF(PTKEY=6, 'PT Answer Tables'!O46,  IF(PTKEY=7, 'PT Answer Tables'!P46, 0))))))</f>
        <v>d</v>
      </c>
      <c r="D99" s="119" t="str">
        <f>IF(PTKEY=2,'PT 1 Skill Tables'!L47,IF(PTKEY=3,'PT 2 Skill Tables'!L47,IF(PTKEY=4,'PT 3 Skill Tables'!L47,IF(PTKEY=5,'PT 4 Skill Tables'!L47,IF(PTKEY=6,'PT 5 Skill Tables'!L47,IF(PTKEY=7,'PT 6 Skill Tables'!L47,0))))))</f>
        <v>Standard English Conventions</v>
      </c>
      <c r="E99" s="119" t="str">
        <f>IF(PTKEY=2,'PT 1 Skill Tables'!M47,IF(PTKEY=3,'PT 2 Skill Tables'!M47,IF(PTKEY=4,'PT 3 Skill Tables'!M47,IF(PTKEY=5,'PT 4 Skill Tables'!M47,IF(PTKEY=6,'PT 5 Skill Tables'!M47,IF(PTKEY=7,'PT 6 Skill Tables'!M47,0))))))</f>
        <v>Conventions of Usage</v>
      </c>
      <c r="F99" s="120" t="str">
        <f>IF(PTKEY=2,IF('PT 1 Skill Tables'!Q47=1,"History",IF('PT 1 Skill Tables'!R47=1,"Science","")),IF(PTKEY=3,IF('PT 2 Skill Tables'!Q47=1,"History",IF('PT 2 Skill Tables'!R47=1,"Science","")),IF(PTKEY=4,IF('PT 3 Skill Tables'!Q47=1,"History",IF('PT 3 Skill Tables'!R47=1,"Science","")),IF(PTKEY=5,IF('PT 4 Skill Tables'!Q47=1,"History",IF('PT 4 Skill Tables'!R47=1,"Science","")),IF(PTKEY=6,IF('PT 5 Skill Tables'!Q47=1,"History",IF('PT 5 Skill Tables'!R47=1,"Science","")),IF(PTKEY=7,IF('PT 6 Skill Tables'!Q47=1,"History",IF('PT 6 Skill Tables'!R47=1,"Science",""))))))))</f>
        <v/>
      </c>
      <c r="G99" s="120" t="str">
        <f>IF(PTKEY=2,IF('PT 1 Skill Tables'!O47=1,"Words in Context",IF('PT 1 Skill Tables'!P47=1,"Command of Evidence","")),IF(PTKEY=3,IF('PT 2 Skill Tables'!O47=1,"Words in Context",IF('PT 2 Skill Tables'!P47=1,"Command of Evidence","")),IF(PTKEY=4,IF('PT 3 Skill Tables'!O47=1,"Words in Context",IF('PT 3 Skill Tables'!P47=1,"Command of Evidence","")),IF(PTKEY=5,IF('PT 4 Skill Tables'!O47=1,"Words in Context",IF('PT 4 Skill Tables'!P47=1,"Command of Evidence","")),IF(PTKEY=6,IF('PT 5 Skill Tables'!O47=1,"Words in Context",IF('PT 5 Skill Tables'!P47=1,"Command of Evidence","")),IF(PTKEY=7,IF('PT 6 Skill Tables'!O47=1,"Words in Context",IF('PT 6 Skill Tables'!P47=1,"Command of Evidence",""))))))))</f>
        <v/>
      </c>
    </row>
    <row r="100" spans="1:7" ht="31.5" customHeight="1">
      <c r="A100" s="119">
        <v>44</v>
      </c>
      <c r="B100" s="119" t="str">
        <f>IF(Input!E53=""," ",Input!E53)</f>
        <v xml:space="preserve"> </v>
      </c>
      <c r="C100" s="119" t="str">
        <f>IF(PTKEY=2,'PT Answer Tables'!K47,IF(PTKEY=3,'PT Answer Tables'!L47, IF(PTKEY=4, 'PT Answer Tables'!M47, IF(PTKEY=5, 'PT Answer Tables'!N47, IF(PTKEY=6, 'PT Answer Tables'!O47,  IF(PTKEY=7, 'PT Answer Tables'!P47, 0))))))</f>
        <v>d</v>
      </c>
      <c r="D100" s="119" t="str">
        <f>IF(PTKEY=2,'PT 1 Skill Tables'!L48,IF(PTKEY=3,'PT 2 Skill Tables'!L48,IF(PTKEY=4,'PT 3 Skill Tables'!L48,IF(PTKEY=5,'PT 4 Skill Tables'!L48,IF(PTKEY=6,'PT 5 Skill Tables'!L48,IF(PTKEY=7,'PT 6 Skill Tables'!L48,0))))))</f>
        <v>Standard English Conventions</v>
      </c>
      <c r="E100" s="119" t="str">
        <f>IF(PTKEY=2,'PT 1 Skill Tables'!M48,IF(PTKEY=3,'PT 2 Skill Tables'!M48,IF(PTKEY=4,'PT 3 Skill Tables'!M48,IF(PTKEY=5,'PT 4 Skill Tables'!M48,IF(PTKEY=6,'PT 5 Skill Tables'!M48,IF(PTKEY=7,'PT 6 Skill Tables'!M48,0))))))</f>
        <v>Conventions of Usage</v>
      </c>
      <c r="F100" s="120" t="str">
        <f>IF(PTKEY=2,IF('PT 1 Skill Tables'!Q48=1,"History",IF('PT 1 Skill Tables'!R48=1,"Science","")),IF(PTKEY=3,IF('PT 2 Skill Tables'!Q48=1,"History",IF('PT 2 Skill Tables'!R48=1,"Science","")),IF(PTKEY=4,IF('PT 3 Skill Tables'!Q48=1,"History",IF('PT 3 Skill Tables'!R48=1,"Science","")),IF(PTKEY=5,IF('PT 4 Skill Tables'!Q48=1,"History",IF('PT 4 Skill Tables'!R48=1,"Science","")),IF(PTKEY=6,IF('PT 5 Skill Tables'!Q48=1,"History",IF('PT 5 Skill Tables'!R48=1,"Science","")),IF(PTKEY=7,IF('PT 6 Skill Tables'!Q48=1,"History",IF('PT 6 Skill Tables'!R48=1,"Science",""))))))))</f>
        <v/>
      </c>
      <c r="G100" s="120" t="str">
        <f>IF(PTKEY=2,IF('PT 1 Skill Tables'!O48=1,"Words in Context",IF('PT 1 Skill Tables'!P48=1,"Command of Evidence","")),IF(PTKEY=3,IF('PT 2 Skill Tables'!O48=1,"Words in Context",IF('PT 2 Skill Tables'!P48=1,"Command of Evidence","")),IF(PTKEY=4,IF('PT 3 Skill Tables'!O48=1,"Words in Context",IF('PT 3 Skill Tables'!P48=1,"Command of Evidence","")),IF(PTKEY=5,IF('PT 4 Skill Tables'!O48=1,"Words in Context",IF('PT 4 Skill Tables'!P48=1,"Command of Evidence","")),IF(PTKEY=6,IF('PT 5 Skill Tables'!O48=1,"Words in Context",IF('PT 5 Skill Tables'!P48=1,"Command of Evidence","")),IF(PTKEY=7,IF('PT 6 Skill Tables'!O48=1,"Words in Context",IF('PT 6 Skill Tables'!P48=1,"Command of Evidence",""))))))))</f>
        <v/>
      </c>
    </row>
    <row r="101" spans="1:7" ht="28.5">
      <c r="A101" s="313" t="s">
        <v>131</v>
      </c>
      <c r="B101" s="313"/>
      <c r="C101" s="313"/>
      <c r="D101" s="313"/>
      <c r="E101" s="313"/>
    </row>
    <row r="102" spans="1:7" ht="31.5">
      <c r="A102" s="121" t="s">
        <v>19</v>
      </c>
      <c r="B102" s="122" t="s">
        <v>128</v>
      </c>
      <c r="C102" s="122" t="s">
        <v>129</v>
      </c>
      <c r="D102" s="122" t="s">
        <v>118</v>
      </c>
      <c r="E102" s="123" t="s">
        <v>119</v>
      </c>
      <c r="F102" s="122" t="s">
        <v>151</v>
      </c>
      <c r="G102" s="75"/>
    </row>
    <row r="103" spans="1:7" ht="17.25" customHeight="1">
      <c r="A103" s="124">
        <v>1</v>
      </c>
      <c r="B103" s="124" t="str">
        <f>IF(Input!G10=""," ",Input!G10)</f>
        <v xml:space="preserve"> </v>
      </c>
      <c r="C103" s="124" t="str">
        <f>IF(PTKEY=2,'PT Answer Tables'!S4,IF(PTKEY=3,'PT Answer Tables'!T4, IF(PTKEY=4, 'PT Answer Tables'!U4, IF(PTKEY=5, 'PT Answer Tables'!V4, IF(PTKEY=6, 'PT Answer Tables'!W4, IF(PTKEY=7, 'PT Answer Tables'!X4, 0))))))</f>
        <v>d</v>
      </c>
      <c r="D103" s="124" t="str">
        <f>IF(PTKEY=2,'PT 1 Skill Tables'!U5,IF(PTKEY=3,'PT 2 Skill Tables'!U5,IF(PTKEY=4,'PT 3 Skill Tables'!U5,IF(PTKEY=5,'PT 4 Skill Tables'!U5,IF(PTKEY=6,'PT 5 Skill Tables'!U5,IF(PTKEY=7,'PT 6 Skill Tables'!U5,0))))))</f>
        <v>Heart of Algebra</v>
      </c>
      <c r="E103" s="124" t="str">
        <f>IF(PTKEY=2,'PT 1 Skill Tables'!V5, IF(PTKEY=3, 'PT 2 Skill Tables'!V5, IF(PTKEY=4, 'PT 3 Skill Tables'!V5, IF( PTKEY=5, 'PT 4 Skill Tables'!V5, IF( PTKEY=6, 'PT 5 Skill Tables'!V5,IF( PTKEY=7, 'PT 6 Skill Tables'!V5,0))))))</f>
        <v>Solving Linear Equations</v>
      </c>
      <c r="F103" s="120" t="str">
        <f>IF(PTKEY=2, IF('PT 1 Skill Tables'!X5=1, "History", IF('PT 1 Skill Tables'!Y5=1, "Science","")), IF(PTKEY=3, IF('PT 2 Skill Tables'!X5=1, "History", IF('PT 2 Skill Tables'!Y5=1, "Science","")), IF(PTKEY=4, IF('PT 3 Skill Tables'!X5=1, "History", IF('PT 3 Skill Tables'!Y5=1, "Science","")), IF(PTKEY=5, IF('PT 4 Skill Tables'!X5=1, "History", IF('PT 4 Skill Tables'!Y5=1, "Science","")),IF(PTKEY=6, IF('PT 5 Skill Tables'!X5=1, "History", IF('PT 5 Skill Tables'!Y5=1, "Science","")), IF(PTKEY=7, IF('PT 6 Skill Tables'!X5=1, "History", IF('PT 6 Skill Tables'!Y5=1, "Science",""))))))))</f>
        <v/>
      </c>
      <c r="G103" s="75"/>
    </row>
    <row r="104" spans="1:7" ht="17.25" customHeight="1">
      <c r="A104" s="124">
        <v>2</v>
      </c>
      <c r="B104" s="124" t="str">
        <f>IF(Input!G11=""," ",Input!G11)</f>
        <v xml:space="preserve"> </v>
      </c>
      <c r="C104" s="124" t="str">
        <f>IF(PTKEY=2,'PT Answer Tables'!S5,IF(PTKEY=3,'PT Answer Tables'!T5, IF(PTKEY=4, 'PT Answer Tables'!U5, IF(PTKEY=5, 'PT Answer Tables'!V5, IF(PTKEY=6, 'PT Answer Tables'!W5, IF(PTKEY=7, 'PT Answer Tables'!X5, 0))))))</f>
        <v>a</v>
      </c>
      <c r="D104" s="124" t="str">
        <f>IF(PTKEY=2,'PT 1 Skill Tables'!U6,IF(PTKEY=3,'PT 2 Skill Tables'!U6,IF(PTKEY=4,'PT 3 Skill Tables'!U6,IF(PTKEY=5,'PT 4 Skill Tables'!U6,IF(PTKEY=6,'PT 5 Skill Tables'!U6,IF(PTKEY=7,'PT 6 Skill Tables'!U6,0))))))</f>
        <v>Additional Topics in Math</v>
      </c>
      <c r="E104" s="124" t="str">
        <f>IF(PTKEY=2,'PT 1 Skill Tables'!V6, IF(PTKEY=3, 'PT 2 Skill Tables'!V6, IF(PTKEY=4, 'PT 3 Skill Tables'!V6, IF( PTKEY=5, 'PT 4 Skill Tables'!V6, IF( PTKEY=6, 'PT 5 Skill Tables'!V6,IF( PTKEY=7, 'PT 6 Skill Tables'!V6,0))))))</f>
        <v>Complex numbers</v>
      </c>
      <c r="F104" s="175" t="str">
        <f>IF(PTKEY=2, IF('PT 1 Skill Tables'!X6=1, "History", IF('PT 1 Skill Tables'!Y6=1, "Science","")), IF(PTKEY=3, IF('PT 2 Skill Tables'!X6=1, "History", IF('PT 2 Skill Tables'!Y6=1, "Science","")), IF(PTKEY=4, IF('PT 3 Skill Tables'!X6=1, "History", IF('PT 3 Skill Tables'!Y6=1, "Science","")), IF(PTKEY=5, IF('PT 4 Skill Tables'!X6=1, "History", IF('PT 4 Skill Tables'!Y6=1, "Science","")),IF(PTKEY=6, IF('PT 5 Skill Tables'!X6=1, "History", IF('PT 5 Skill Tables'!Y6=1, "Science","")), IF(PTKEY=7, IF('PT 6 Skill Tables'!X6=1, "History", IF('PT 6 Skill Tables'!Y6=1, "Science",""))))))))</f>
        <v/>
      </c>
      <c r="G104" s="75"/>
    </row>
    <row r="105" spans="1:7" ht="17.25" customHeight="1">
      <c r="A105" s="124">
        <v>3</v>
      </c>
      <c r="B105" s="124" t="str">
        <f>IF(Input!G12=""," ",Input!G12)</f>
        <v xml:space="preserve"> </v>
      </c>
      <c r="C105" s="124" t="str">
        <f>IF(PTKEY=2,'PT Answer Tables'!S6,IF(PTKEY=3,'PT Answer Tables'!T6, IF(PTKEY=4, 'PT Answer Tables'!U6, IF(PTKEY=5, 'PT Answer Tables'!V6, IF(PTKEY=6, 'PT Answer Tables'!W6, IF(PTKEY=7, 'PT Answer Tables'!X6, 0))))))</f>
        <v>c</v>
      </c>
      <c r="D105" s="124" t="str">
        <f>IF(PTKEY=2,'PT 1 Skill Tables'!U7,IF(PTKEY=3,'PT 2 Skill Tables'!U7,IF(PTKEY=4,'PT 3 Skill Tables'!U7,IF(PTKEY=5,'PT 4 Skill Tables'!U7,IF(PTKEY=6,'PT 5 Skill Tables'!U7,IF(PTKEY=7,'PT 6 Skill Tables'!U7,0))))))</f>
        <v>Heart of Algebra</v>
      </c>
      <c r="E105" s="124" t="str">
        <f>IF(PTKEY=2,'PT 1 Skill Tables'!V7, IF(PTKEY=3, 'PT 2 Skill Tables'!V7, IF(PTKEY=4, 'PT 3 Skill Tables'!V7, IF( PTKEY=5, 'PT 4 Skill Tables'!V7, IF( PTKEY=6, 'PT 5 Skill Tables'!V7,IF( PTKEY=7, 'PT 6 Skill Tables'!V7,0))))))</f>
        <v>Linear Equation Word Problems</v>
      </c>
      <c r="F105" s="175" t="str">
        <f>IF(PTKEY=2, IF('PT 1 Skill Tables'!X7=1, "History", IF('PT 1 Skill Tables'!Y7=1, "Science","")), IF(PTKEY=3, IF('PT 2 Skill Tables'!X7=1, "History", IF('PT 2 Skill Tables'!Y7=1, "Science","")), IF(PTKEY=4, IF('PT 3 Skill Tables'!X7=1, "History", IF('PT 3 Skill Tables'!Y7=1, "Science","")), IF(PTKEY=5, IF('PT 4 Skill Tables'!X7=1, "History", IF('PT 4 Skill Tables'!Y7=1, "Science","")),IF(PTKEY=6, IF('PT 5 Skill Tables'!X7=1, "History", IF('PT 5 Skill Tables'!Y7=1, "Science","")), IF(PTKEY=7, IF('PT 6 Skill Tables'!X7=1, "History", IF('PT 6 Skill Tables'!Y7=1, "Science",""))))))))</f>
        <v/>
      </c>
      <c r="G105" s="75"/>
    </row>
    <row r="106" spans="1:7" ht="17.25" customHeight="1">
      <c r="A106" s="124">
        <v>4</v>
      </c>
      <c r="B106" s="124" t="str">
        <f>IF(Input!G13=""," ",Input!G13)</f>
        <v xml:space="preserve"> </v>
      </c>
      <c r="C106" s="124" t="str">
        <f>IF(PTKEY=2,'PT Answer Tables'!S7,IF(PTKEY=3,'PT Answer Tables'!T7, IF(PTKEY=4, 'PT Answer Tables'!U7, IF(PTKEY=5, 'PT Answer Tables'!V7, IF(PTKEY=6, 'PT Answer Tables'!W7, IF(PTKEY=7, 'PT Answer Tables'!X7, 0))))))</f>
        <v>b</v>
      </c>
      <c r="D106" s="124" t="str">
        <f>IF(PTKEY=2,'PT 1 Skill Tables'!U8,IF(PTKEY=3,'PT 2 Skill Tables'!U8,IF(PTKEY=4,'PT 3 Skill Tables'!U8,IF(PTKEY=5,'PT 4 Skill Tables'!U8,IF(PTKEY=6,'PT 5 Skill Tables'!U8,IF(PTKEY=7,'PT 6 Skill Tables'!U8,0))))))</f>
        <v>Heart of Algebra</v>
      </c>
      <c r="E106" s="124" t="str">
        <f>IF(PTKEY=2,'PT 1 Skill Tables'!V8, IF(PTKEY=3, 'PT 2 Skill Tables'!V8, IF(PTKEY=4, 'PT 3 Skill Tables'!V8, IF( PTKEY=5, 'PT 4 Skill Tables'!V8, IF( PTKEY=6, 'PT 5 Skill Tables'!V8,IF( PTKEY=7, 'PT 6 Skill Tables'!V8,0))))))</f>
        <v>Linear Equation Word Problems</v>
      </c>
      <c r="F106" s="175" t="str">
        <f>IF(PTKEY=2, IF('PT 1 Skill Tables'!X8=1, "History", IF('PT 1 Skill Tables'!Y8=1, "Science","")), IF(PTKEY=3, IF('PT 2 Skill Tables'!X8=1, "History", IF('PT 2 Skill Tables'!Y8=1, "Science","")), IF(PTKEY=4, IF('PT 3 Skill Tables'!X8=1, "History", IF('PT 3 Skill Tables'!Y8=1, "Science","")), IF(PTKEY=5, IF('PT 4 Skill Tables'!X8=1, "History", IF('PT 4 Skill Tables'!Y8=1, "Science","")),IF(PTKEY=6, IF('PT 5 Skill Tables'!X8=1, "History", IF('PT 5 Skill Tables'!Y8=1, "Science","")), IF(PTKEY=7, IF('PT 6 Skill Tables'!X8=1, "History", IF('PT 6 Skill Tables'!Y8=1, "Science",""))))))))</f>
        <v/>
      </c>
      <c r="G106" s="75"/>
    </row>
    <row r="107" spans="1:7" ht="17.25" customHeight="1">
      <c r="A107" s="124">
        <v>5</v>
      </c>
      <c r="B107" s="124" t="str">
        <f>IF(Input!G14=""," ",Input!G14)</f>
        <v xml:space="preserve"> </v>
      </c>
      <c r="C107" s="124" t="str">
        <f>IF(PTKEY=2,'PT Answer Tables'!S8,IF(PTKEY=3,'PT Answer Tables'!T8, IF(PTKEY=4, 'PT Answer Tables'!U8, IF(PTKEY=5, 'PT Answer Tables'!V8, IF(PTKEY=6, 'PT Answer Tables'!W8, IF(PTKEY=7, 'PT Answer Tables'!X8, 0))))))</f>
        <v>c</v>
      </c>
      <c r="D107" s="124" t="str">
        <f>IF(PTKEY=2,'PT 1 Skill Tables'!U9,IF(PTKEY=3,'PT 2 Skill Tables'!U9,IF(PTKEY=4,'PT 3 Skill Tables'!U9,IF(PTKEY=5,'PT 4 Skill Tables'!U9,IF(PTKEY=6,'PT 5 Skill Tables'!U9,IF(PTKEY=7,'PT 6 Skill Tables'!U9,0))))))</f>
        <v>Passport to Advanced Mathematics</v>
      </c>
      <c r="E107" s="124" t="str">
        <f>IF(PTKEY=2,'PT 1 Skill Tables'!V9, IF(PTKEY=3, 'PT 2 Skill Tables'!V9, IF(PTKEY=4, 'PT 3 Skill Tables'!V9, IF( PTKEY=5, 'PT 4 Skill Tables'!V9, IF( PTKEY=6, 'PT 5 Skill Tables'!V9,IF( PTKEY=7, 'PT 6 Skill Tables'!V9,0))))))</f>
        <v>Interpreting non-linear expressions</v>
      </c>
      <c r="F107" s="175" t="str">
        <f>IF(PTKEY=2, IF('PT 1 Skill Tables'!X9=1, "History", IF('PT 1 Skill Tables'!Y9=1, "Science","")), IF(PTKEY=3, IF('PT 2 Skill Tables'!X9=1, "History", IF('PT 2 Skill Tables'!Y9=1, "Science","")), IF(PTKEY=4, IF('PT 3 Skill Tables'!X9=1, "History", IF('PT 3 Skill Tables'!Y9=1, "Science","")), IF(PTKEY=5, IF('PT 4 Skill Tables'!X9=1, "History", IF('PT 4 Skill Tables'!Y9=1, "Science","")),IF(PTKEY=6, IF('PT 5 Skill Tables'!X9=1, "History", IF('PT 5 Skill Tables'!Y9=1, "Science","")), IF(PTKEY=7, IF('PT 6 Skill Tables'!X9=1, "History", IF('PT 6 Skill Tables'!Y9=1, "Science",""))))))))</f>
        <v/>
      </c>
      <c r="G107" s="75"/>
    </row>
    <row r="108" spans="1:7" ht="17.25" customHeight="1">
      <c r="A108" s="124">
        <v>6</v>
      </c>
      <c r="B108" s="124" t="str">
        <f>IF(Input!G15=""," ",Input!G15)</f>
        <v xml:space="preserve"> </v>
      </c>
      <c r="C108" s="124" t="str">
        <f>IF(PTKEY=2,'PT Answer Tables'!S9,IF(PTKEY=3,'PT Answer Tables'!T9, IF(PTKEY=4, 'PT Answer Tables'!U9, IF(PTKEY=5, 'PT Answer Tables'!V9, IF(PTKEY=6, 'PT Answer Tables'!W9, IF(PTKEY=7, 'PT Answer Tables'!X9, 0))))))</f>
        <v>a</v>
      </c>
      <c r="D108" s="124" t="str">
        <f>IF(PTKEY=2,'PT 1 Skill Tables'!U10,IF(PTKEY=3,'PT 2 Skill Tables'!U10,IF(PTKEY=4,'PT 3 Skill Tables'!U10,IF(PTKEY=5,'PT 4 Skill Tables'!U10,IF(PTKEY=6,'PT 5 Skill Tables'!U10,IF(PTKEY=7,'PT 6 Skill Tables'!U10,0))))))</f>
        <v>Heart of Algebra</v>
      </c>
      <c r="E108" s="124" t="str">
        <f>IF(PTKEY=2,'PT 1 Skill Tables'!V10, IF(PTKEY=3, 'PT 2 Skill Tables'!V10, IF(PTKEY=4, 'PT 3 Skill Tables'!V10, IF( PTKEY=5, 'PT 4 Skill Tables'!V10, IF( PTKEY=6, 'PT 5 Skill Tables'!V10,IF( PTKEY=7, 'PT 6 Skill Tables'!V10,0))))))</f>
        <v>Linear Function Word Problems</v>
      </c>
      <c r="F108" s="175" t="str">
        <f>IF(PTKEY=2, IF('PT 1 Skill Tables'!X10=1, "History", IF('PT 1 Skill Tables'!Y10=1, "Science","")), IF(PTKEY=3, IF('PT 2 Skill Tables'!X10=1, "History", IF('PT 2 Skill Tables'!Y10=1, "Science","")), IF(PTKEY=4, IF('PT 3 Skill Tables'!X10=1, "History", IF('PT 3 Skill Tables'!Y10=1, "Science","")), IF(PTKEY=5, IF('PT 4 Skill Tables'!X10=1, "History", IF('PT 4 Skill Tables'!Y10=1, "Science","")),IF(PTKEY=6, IF('PT 5 Skill Tables'!X10=1, "History", IF('PT 5 Skill Tables'!Y10=1, "Science","")), IF(PTKEY=7, IF('PT 6 Skill Tables'!X10=1, "History", IF('PT 6 Skill Tables'!Y10=1, "Science",""))))))))</f>
        <v>Science</v>
      </c>
      <c r="G108" s="75"/>
    </row>
    <row r="109" spans="1:7" ht="17.25" customHeight="1">
      <c r="A109" s="124">
        <v>7</v>
      </c>
      <c r="B109" s="124" t="str">
        <f>IF(Input!G16=""," ",Input!G16)</f>
        <v xml:space="preserve"> </v>
      </c>
      <c r="C109" s="124" t="str">
        <f>IF(PTKEY=2,'PT Answer Tables'!S10,IF(PTKEY=3,'PT Answer Tables'!T10, IF(PTKEY=4, 'PT Answer Tables'!U10, IF(PTKEY=5, 'PT Answer Tables'!V10, IF(PTKEY=6, 'PT Answer Tables'!W10, IF(PTKEY=7, 'PT Answer Tables'!X10, 0))))))</f>
        <v>b</v>
      </c>
      <c r="D109" s="124" t="str">
        <f>IF(PTKEY=2,'PT 1 Skill Tables'!U11,IF(PTKEY=3,'PT 2 Skill Tables'!U11,IF(PTKEY=4,'PT 3 Skill Tables'!U11,IF(PTKEY=5,'PT 4 Skill Tables'!U11,IF(PTKEY=6,'PT 5 Skill Tables'!U11,IF(PTKEY=7,'PT 6 Skill Tables'!U11,0))))))</f>
        <v>Passport to Advanced Mathematics</v>
      </c>
      <c r="E109" s="124" t="str">
        <f>IF(PTKEY=2,'PT 1 Skill Tables'!V11, IF(PTKEY=3, 'PT 2 Skill Tables'!V11, IF(PTKEY=4, 'PT 3 Skill Tables'!V11, IF( PTKEY=5, 'PT 4 Skill Tables'!V11, IF( PTKEY=6, 'PT 5 Skill Tables'!V11,IF( PTKEY=7, 'PT 6 Skill Tables'!V11,0))))))</f>
        <v>Interpreting non-linear expressions</v>
      </c>
      <c r="F109" s="175" t="str">
        <f>IF(PTKEY=2, IF('PT 1 Skill Tables'!X11=1, "History", IF('PT 1 Skill Tables'!Y11=1, "Science","")), IF(PTKEY=3, IF('PT 2 Skill Tables'!X11=1, "History", IF('PT 2 Skill Tables'!Y11=1, "Science","")), IF(PTKEY=4, IF('PT 3 Skill Tables'!X11=1, "History", IF('PT 3 Skill Tables'!Y11=1, "Science","")), IF(PTKEY=5, IF('PT 4 Skill Tables'!X11=1, "History", IF('PT 4 Skill Tables'!Y11=1, "Science","")),IF(PTKEY=6, IF('PT 5 Skill Tables'!X11=1, "History", IF('PT 5 Skill Tables'!Y11=1, "Science","")), IF(PTKEY=7, IF('PT 6 Skill Tables'!X11=1, "History", IF('PT 6 Skill Tables'!Y11=1, "Science",""))))))))</f>
        <v>History</v>
      </c>
      <c r="G109" s="75"/>
    </row>
    <row r="110" spans="1:7" ht="17.25" customHeight="1">
      <c r="A110" s="124">
        <v>8</v>
      </c>
      <c r="B110" s="124" t="str">
        <f>IF(Input!G17=""," ",Input!G17)</f>
        <v xml:space="preserve"> </v>
      </c>
      <c r="C110" s="124" t="str">
        <f>IF(PTKEY=2,'PT Answer Tables'!S11,IF(PTKEY=3,'PT Answer Tables'!T11, IF(PTKEY=4, 'PT Answer Tables'!U11, IF(PTKEY=5, 'PT Answer Tables'!V11, IF(PTKEY=6, 'PT Answer Tables'!W11, IF(PTKEY=7, 'PT Answer Tables'!X11, 0))))))</f>
        <v>c</v>
      </c>
      <c r="D110" s="124" t="str">
        <f>IF(PTKEY=2,'PT 1 Skill Tables'!U12,IF(PTKEY=3,'PT 2 Skill Tables'!U12,IF(PTKEY=4,'PT 3 Skill Tables'!U12,IF(PTKEY=5,'PT 4 Skill Tables'!U12,IF(PTKEY=6,'PT 5 Skill Tables'!U12,IF(PTKEY=7,'PT 6 Skill Tables'!U12,0))))))</f>
        <v>Passport to Advanced Mathematics</v>
      </c>
      <c r="E110" s="124" t="str">
        <f>IF(PTKEY=2,'PT 1 Skill Tables'!V12, IF(PTKEY=3, 'PT 2 Skill Tables'!V12, IF(PTKEY=4, 'PT 3 Skill Tables'!V12, IF( PTKEY=5, 'PT 4 Skill Tables'!V12, IF( PTKEY=6, 'PT 5 Skill Tables'!V12,IF( PTKEY=7, 'PT 6 Skill Tables'!V12,0))))))</f>
        <v>Structure in expressions</v>
      </c>
      <c r="F110" s="175" t="str">
        <f>IF(PTKEY=2, IF('PT 1 Skill Tables'!X12=1, "History", IF('PT 1 Skill Tables'!Y12=1, "Science","")), IF(PTKEY=3, IF('PT 2 Skill Tables'!X12=1, "History", IF('PT 2 Skill Tables'!Y12=1, "Science","")), IF(PTKEY=4, IF('PT 3 Skill Tables'!X12=1, "History", IF('PT 3 Skill Tables'!Y12=1, "Science","")), IF(PTKEY=5, IF('PT 4 Skill Tables'!X12=1, "History", IF('PT 4 Skill Tables'!Y12=1, "Science","")),IF(PTKEY=6, IF('PT 5 Skill Tables'!X12=1, "History", IF('PT 5 Skill Tables'!Y12=1, "Science","")), IF(PTKEY=7, IF('PT 6 Skill Tables'!X12=1, "History", IF('PT 6 Skill Tables'!Y12=1, "Science",""))))))))</f>
        <v/>
      </c>
      <c r="G110" s="75"/>
    </row>
    <row r="111" spans="1:7" ht="17.25" customHeight="1">
      <c r="A111" s="124">
        <v>9</v>
      </c>
      <c r="B111" s="124" t="str">
        <f>IF(Input!G18=""," ",Input!G18)</f>
        <v xml:space="preserve"> </v>
      </c>
      <c r="C111" s="124" t="str">
        <f>IF(PTKEY=2,'PT Answer Tables'!S12,IF(PTKEY=3,'PT Answer Tables'!T12, IF(PTKEY=4, 'PT Answer Tables'!U12, IF(PTKEY=5, 'PT Answer Tables'!V12, IF(PTKEY=6, 'PT Answer Tables'!W12, IF(PTKEY=7, 'PT Answer Tables'!X12, 0))))))</f>
        <v>b</v>
      </c>
      <c r="D111" s="124" t="str">
        <f>IF(PTKEY=2,'PT 1 Skill Tables'!U13,IF(PTKEY=3,'PT 2 Skill Tables'!U13,IF(PTKEY=4,'PT 3 Skill Tables'!U13,IF(PTKEY=5,'PT 4 Skill Tables'!U13,IF(PTKEY=6,'PT 5 Skill Tables'!U13,IF(PTKEY=7,'PT 6 Skill Tables'!U13,0))))))</f>
        <v>Heart of Algebra</v>
      </c>
      <c r="E111" s="124" t="str">
        <f>IF(PTKEY=2,'PT 1 Skill Tables'!V13, IF(PTKEY=3, 'PT 2 Skill Tables'!V13, IF(PTKEY=4, 'PT 3 Skill Tables'!V13, IF( PTKEY=5, 'PT 4 Skill Tables'!V13, IF( PTKEY=6, 'PT 5 Skill Tables'!V13,IF( PTKEY=7, 'PT 6 Skill Tables'!V13,0))))))</f>
        <v>Solving Systems of Linear Equations</v>
      </c>
      <c r="F111" s="175" t="str">
        <f>IF(PTKEY=2, IF('PT 1 Skill Tables'!X13=1, "History", IF('PT 1 Skill Tables'!Y13=1, "Science","")), IF(PTKEY=3, IF('PT 2 Skill Tables'!X13=1, "History", IF('PT 2 Skill Tables'!Y13=1, "Science","")), IF(PTKEY=4, IF('PT 3 Skill Tables'!X13=1, "History", IF('PT 3 Skill Tables'!Y13=1, "Science","")), IF(PTKEY=5, IF('PT 4 Skill Tables'!X13=1, "History", IF('PT 4 Skill Tables'!Y13=1, "Science","")),IF(PTKEY=6, IF('PT 5 Skill Tables'!X13=1, "History", IF('PT 5 Skill Tables'!Y13=1, "Science","")), IF(PTKEY=7, IF('PT 6 Skill Tables'!X13=1, "History", IF('PT 6 Skill Tables'!Y13=1, "Science",""))))))))</f>
        <v/>
      </c>
      <c r="G111" s="75"/>
    </row>
    <row r="112" spans="1:7" ht="17.25" customHeight="1">
      <c r="A112" s="124">
        <v>10</v>
      </c>
      <c r="B112" s="124" t="str">
        <f>IF(Input!G19=""," ",Input!G19)</f>
        <v xml:space="preserve"> </v>
      </c>
      <c r="C112" s="124" t="str">
        <f>IF(PTKEY=2,'PT Answer Tables'!S13,IF(PTKEY=3,'PT Answer Tables'!T13, IF(PTKEY=4, 'PT Answer Tables'!U13, IF(PTKEY=5, 'PT Answer Tables'!V13, IF(PTKEY=6, 'PT Answer Tables'!W13, IF(PTKEY=7, 'PT Answer Tables'!X13, 0))))))</f>
        <v>a</v>
      </c>
      <c r="D112" s="124" t="str">
        <f>IF(PTKEY=2,'PT 1 Skill Tables'!U14,IF(PTKEY=3,'PT 2 Skill Tables'!U14,IF(PTKEY=4,'PT 3 Skill Tables'!U14,IF(PTKEY=5,'PT 4 Skill Tables'!U14,IF(PTKEY=6,'PT 5 Skill Tables'!U14,IF(PTKEY=7,'PT 6 Skill Tables'!U14,0))))))</f>
        <v>Passport to Advanced Mathematics</v>
      </c>
      <c r="E112" s="124" t="str">
        <f>IF(PTKEY=2,'PT 1 Skill Tables'!V14, IF(PTKEY=3, 'PT 2 Skill Tables'!V14, IF(PTKEY=4, 'PT 3 Skill Tables'!V14, IF( PTKEY=5, 'PT 4 Skill Tables'!V14, IF( PTKEY=6, 'PT 5 Skill Tables'!V14,IF( PTKEY=7, 'PT 6 Skill Tables'!V14,0))))))</f>
        <v>Solving Quadratic Equations</v>
      </c>
      <c r="F112" s="175" t="str">
        <f>IF(PTKEY=2, IF('PT 1 Skill Tables'!X14=1, "History", IF('PT 1 Skill Tables'!Y14=1, "Science","")), IF(PTKEY=3, IF('PT 2 Skill Tables'!X14=1, "History", IF('PT 2 Skill Tables'!Y14=1, "Science","")), IF(PTKEY=4, IF('PT 3 Skill Tables'!X14=1, "History", IF('PT 3 Skill Tables'!Y14=1, "Science","")), IF(PTKEY=5, IF('PT 4 Skill Tables'!X14=1, "History", IF('PT 4 Skill Tables'!Y14=1, "Science","")),IF(PTKEY=6, IF('PT 5 Skill Tables'!X14=1, "History", IF('PT 5 Skill Tables'!Y14=1, "Science","")), IF(PTKEY=7, IF('PT 6 Skill Tables'!X14=1, "History", IF('PT 6 Skill Tables'!Y14=1, "Science",""))))))))</f>
        <v/>
      </c>
      <c r="G112" s="75"/>
    </row>
    <row r="113" spans="1:7" ht="17.25" customHeight="1">
      <c r="A113" s="124">
        <v>11</v>
      </c>
      <c r="B113" s="124" t="str">
        <f>IF(Input!G20=""," ",Input!G20)</f>
        <v xml:space="preserve"> </v>
      </c>
      <c r="C113" s="124" t="str">
        <f>IF(PTKEY=2,'PT Answer Tables'!S14,IF(PTKEY=3,'PT Answer Tables'!T14, IF(PTKEY=4, 'PT Answer Tables'!U14, IF(PTKEY=5, 'PT Answer Tables'!V14, IF(PTKEY=6, 'PT Answer Tables'!W14, IF(PTKEY=7, 'PT Answer Tables'!X14, 0))))))</f>
        <v>d</v>
      </c>
      <c r="D113" s="124" t="str">
        <f>IF(PTKEY=2,'PT 1 Skill Tables'!U15,IF(PTKEY=3,'PT 2 Skill Tables'!U15,IF(PTKEY=4,'PT 3 Skill Tables'!U15,IF(PTKEY=5,'PT 4 Skill Tables'!U15,IF(PTKEY=6,'PT 5 Skill Tables'!U15,IF(PTKEY=7,'PT 6 Skill Tables'!U15,0))))))</f>
        <v>Heart of Algebra</v>
      </c>
      <c r="E113" s="124" t="str">
        <f>IF(PTKEY=2,'PT 1 Skill Tables'!V15, IF(PTKEY=3, 'PT 2 Skill Tables'!V15, IF(PTKEY=4, 'PT 3 Skill Tables'!V15, IF( PTKEY=5, 'PT 4 Skill Tables'!V15, IF( PTKEY=6, 'PT 5 Skill Tables'!V15,IF( PTKEY=7, 'PT 6 Skill Tables'!V15,0))))))</f>
        <v>Systems of Linear Equations Word Problems</v>
      </c>
      <c r="F113" s="175" t="str">
        <f>IF(PTKEY=2, IF('PT 1 Skill Tables'!X15=1, "History", IF('PT 1 Skill Tables'!Y15=1, "Science","")), IF(PTKEY=3, IF('PT 2 Skill Tables'!X15=1, "History", IF('PT 2 Skill Tables'!Y15=1, "Science","")), IF(PTKEY=4, IF('PT 3 Skill Tables'!X15=1, "History", IF('PT 3 Skill Tables'!Y15=1, "Science","")), IF(PTKEY=5, IF('PT 4 Skill Tables'!X15=1, "History", IF('PT 4 Skill Tables'!Y15=1, "Science","")),IF(PTKEY=6, IF('PT 5 Skill Tables'!X15=1, "History", IF('PT 5 Skill Tables'!Y15=1, "Science","")), IF(PTKEY=7, IF('PT 6 Skill Tables'!X15=1, "History", IF('PT 6 Skill Tables'!Y15=1, "Science",""))))))))</f>
        <v>History</v>
      </c>
      <c r="G113" s="75"/>
    </row>
    <row r="114" spans="1:7" ht="17.25" customHeight="1">
      <c r="A114" s="124">
        <v>12</v>
      </c>
      <c r="B114" s="124" t="str">
        <f>IF(Input!G21=""," ",Input!G21)</f>
        <v xml:space="preserve"> </v>
      </c>
      <c r="C114" s="124" t="str">
        <f>IF(PTKEY=2,'PT Answer Tables'!S15,IF(PTKEY=3,'PT Answer Tables'!T15, IF(PTKEY=4, 'PT Answer Tables'!U15, IF(PTKEY=5, 'PT Answer Tables'!V15, IF(PTKEY=6, 'PT Answer Tables'!W15, IF(PTKEY=7, 'PT Answer Tables'!X15, 0))))))</f>
        <v>d</v>
      </c>
      <c r="D114" s="124" t="str">
        <f>IF(PTKEY=2,'PT 1 Skill Tables'!U16,IF(PTKEY=3,'PT 2 Skill Tables'!U16,IF(PTKEY=4,'PT 3 Skill Tables'!U16,IF(PTKEY=5,'PT 4 Skill Tables'!U16,IF(PTKEY=6,'PT 5 Skill Tables'!U16,IF(PTKEY=7,'PT 6 Skill Tables'!U16,0))))))</f>
        <v>Heart of Algebra</v>
      </c>
      <c r="E114" s="124" t="str">
        <f>IF(PTKEY=2,'PT 1 Skill Tables'!V16, IF(PTKEY=3, 'PT 2 Skill Tables'!V16, IF(PTKEY=4, 'PT 3 Skill Tables'!V16, IF( PTKEY=5, 'PT 4 Skill Tables'!V16, IF( PTKEY=6, 'PT 5 Skill Tables'!V16,IF( PTKEY=7, 'PT 6 Skill Tables'!V16,0))))))</f>
        <v>Linear Equation Word Problems</v>
      </c>
      <c r="F114" s="175" t="str">
        <f>IF(PTKEY=2, IF('PT 1 Skill Tables'!X16=1, "History", IF('PT 1 Skill Tables'!Y16=1, "Science","")), IF(PTKEY=3, IF('PT 2 Skill Tables'!X16=1, "History", IF('PT 2 Skill Tables'!Y16=1, "Science","")), IF(PTKEY=4, IF('PT 3 Skill Tables'!X16=1, "History", IF('PT 3 Skill Tables'!Y16=1, "Science","")), IF(PTKEY=5, IF('PT 4 Skill Tables'!X16=1, "History", IF('PT 4 Skill Tables'!Y16=1, "Science","")),IF(PTKEY=6, IF('PT 5 Skill Tables'!X16=1, "History", IF('PT 5 Skill Tables'!Y16=1, "Science","")), IF(PTKEY=7, IF('PT 6 Skill Tables'!X16=1, "History", IF('PT 6 Skill Tables'!Y16=1, "Science",""))))))))</f>
        <v/>
      </c>
      <c r="G114" s="75"/>
    </row>
    <row r="115" spans="1:7" ht="17.25" customHeight="1">
      <c r="A115" s="124">
        <v>13</v>
      </c>
      <c r="B115" s="124" t="str">
        <f>IF(Input!G22=""," ",Input!G22)</f>
        <v xml:space="preserve"> </v>
      </c>
      <c r="C115" s="124" t="str">
        <f>IF(PTKEY=2,'PT Answer Tables'!S16,IF(PTKEY=3,'PT Answer Tables'!T16, IF(PTKEY=4, 'PT Answer Tables'!U16, IF(PTKEY=5, 'PT Answer Tables'!V16, IF(PTKEY=6, 'PT Answer Tables'!W16, IF(PTKEY=7, 'PT Answer Tables'!X16, 0))))))</f>
        <v>b</v>
      </c>
      <c r="D115" s="124" t="str">
        <f>IF(PTKEY=2,'PT 1 Skill Tables'!U17,IF(PTKEY=3,'PT 2 Skill Tables'!U17,IF(PTKEY=4,'PT 3 Skill Tables'!U17,IF(PTKEY=5,'PT 4 Skill Tables'!U17,IF(PTKEY=6,'PT 5 Skill Tables'!U17,IF(PTKEY=7,'PT 6 Skill Tables'!U17,0))))))</f>
        <v>Passport to Advanced Mathematics</v>
      </c>
      <c r="E115" s="124" t="str">
        <f>IF(PTKEY=2,'PT 1 Skill Tables'!V17, IF(PTKEY=3, 'PT 2 Skill Tables'!V17, IF(PTKEY=4, 'PT 3 Skill Tables'!V17, IF( PTKEY=5, 'PT 4 Skill Tables'!V17, IF( PTKEY=6, 'PT 5 Skill Tables'!V17,IF( PTKEY=7, 'PT 6 Skill Tables'!V17,0))))))</f>
        <v>Manipulating quadratic and exponential expressions</v>
      </c>
      <c r="F115" s="175" t="str">
        <f>IF(PTKEY=2, IF('PT 1 Skill Tables'!X17=1, "History", IF('PT 1 Skill Tables'!Y17=1, "Science","")), IF(PTKEY=3, IF('PT 2 Skill Tables'!X17=1, "History", IF('PT 2 Skill Tables'!Y17=1, "Science","")), IF(PTKEY=4, IF('PT 3 Skill Tables'!X17=1, "History", IF('PT 3 Skill Tables'!Y17=1, "Science","")), IF(PTKEY=5, IF('PT 4 Skill Tables'!X17=1, "History", IF('PT 4 Skill Tables'!Y17=1, "Science","")),IF(PTKEY=6, IF('PT 5 Skill Tables'!X17=1, "History", IF('PT 5 Skill Tables'!Y17=1, "Science","")), IF(PTKEY=7, IF('PT 6 Skill Tables'!X17=1, "History", IF('PT 6 Skill Tables'!Y17=1, "Science",""))))))))</f>
        <v/>
      </c>
      <c r="G115" s="75"/>
    </row>
    <row r="116" spans="1:7" ht="17.25" customHeight="1">
      <c r="A116" s="124">
        <v>14</v>
      </c>
      <c r="B116" s="124" t="str">
        <f>IF(Input!G23=""," ",Input!G23)</f>
        <v xml:space="preserve"> </v>
      </c>
      <c r="C116" s="124" t="str">
        <f>IF(PTKEY=2,'PT Answer Tables'!S17,IF(PTKEY=3,'PT Answer Tables'!T17, IF(PTKEY=4, 'PT Answer Tables'!U17, IF(PTKEY=5, 'PT Answer Tables'!V17, IF(PTKEY=6, 'PT Answer Tables'!W17, IF(PTKEY=7, 'PT Answer Tables'!X17, 0))))))</f>
        <v>a</v>
      </c>
      <c r="D116" s="124" t="str">
        <f>IF(PTKEY=2,'PT 1 Skill Tables'!U18,IF(PTKEY=3,'PT 2 Skill Tables'!U18,IF(PTKEY=4,'PT 3 Skill Tables'!U18,IF(PTKEY=5,'PT 4 Skill Tables'!U18,IF(PTKEY=6,'PT 5 Skill Tables'!U18,IF(PTKEY=7,'PT 6 Skill Tables'!U18,0))))))</f>
        <v>Passport to Advanced Mathematics</v>
      </c>
      <c r="E116" s="124" t="str">
        <f>IF(PTKEY=2,'PT 1 Skill Tables'!V18, IF(PTKEY=3, 'PT 2 Skill Tables'!V18, IF(PTKEY=4, 'PT 3 Skill Tables'!V18, IF( PTKEY=5, 'PT 4 Skill Tables'!V18, IF( PTKEY=6, 'PT 5 Skill Tables'!V18,IF( PTKEY=7, 'PT 6 Skill Tables'!V18,0))))))</f>
        <v>Manipulating quadratic and exponential expressions</v>
      </c>
      <c r="F116" s="175" t="str">
        <f>IF(PTKEY=2, IF('PT 1 Skill Tables'!X18=1, "History", IF('PT 1 Skill Tables'!Y18=1, "Science","")), IF(PTKEY=3, IF('PT 2 Skill Tables'!X18=1, "History", IF('PT 2 Skill Tables'!Y18=1, "Science","")), IF(PTKEY=4, IF('PT 3 Skill Tables'!X18=1, "History", IF('PT 3 Skill Tables'!Y18=1, "Science","")), IF(PTKEY=5, IF('PT 4 Skill Tables'!X18=1, "History", IF('PT 4 Skill Tables'!Y18=1, "Science","")),IF(PTKEY=6, IF('PT 5 Skill Tables'!X18=1, "History", IF('PT 5 Skill Tables'!Y18=1, "Science","")), IF(PTKEY=7, IF('PT 6 Skill Tables'!X18=1, "History", IF('PT 6 Skill Tables'!Y18=1, "Science",""))))))))</f>
        <v/>
      </c>
      <c r="G116" s="75"/>
    </row>
    <row r="117" spans="1:7" ht="17.25" customHeight="1">
      <c r="A117" s="124">
        <v>15</v>
      </c>
      <c r="B117" s="124" t="str">
        <f>IF(Input!G24=""," ",Input!G24)</f>
        <v xml:space="preserve"> </v>
      </c>
      <c r="C117" s="124" t="str">
        <f>IF(PTKEY=2,'PT Answer Tables'!S18,IF(PTKEY=3,'PT Answer Tables'!T18, IF(PTKEY=4, 'PT Answer Tables'!U18, IF(PTKEY=5, 'PT Answer Tables'!V18, IF(PTKEY=6, 'PT Answer Tables'!W18, IF(PTKEY=7, 'PT Answer Tables'!X18, 0))))))</f>
        <v>d</v>
      </c>
      <c r="D117" s="124" t="str">
        <f>IF(PTKEY=2,'PT 1 Skill Tables'!U19,IF(PTKEY=3,'PT 2 Skill Tables'!U19,IF(PTKEY=4,'PT 3 Skill Tables'!U19,IF(PTKEY=5,'PT 4 Skill Tables'!U19,IF(PTKEY=6,'PT 5 Skill Tables'!U19,IF(PTKEY=7,'PT 6 Skill Tables'!U19,0))))))</f>
        <v>Passport to Advanced Mathematics</v>
      </c>
      <c r="E117" s="124" t="str">
        <f>IF(PTKEY=2,'PT 1 Skill Tables'!V19, IF(PTKEY=3, 'PT 2 Skill Tables'!V19, IF(PTKEY=4, 'PT 3 Skill Tables'!V19, IF( PTKEY=5, 'PT 4 Skill Tables'!V19, IF( PTKEY=6, 'PT 5 Skill Tables'!V19,IF( PTKEY=7, 'PT 6 Skill Tables'!V19,0))))))</f>
        <v>Solving Quadratic Equations</v>
      </c>
      <c r="F117" s="175" t="str">
        <f>IF(PTKEY=2, IF('PT 1 Skill Tables'!X19=1, "History", IF('PT 1 Skill Tables'!Y19=1, "Science","")), IF(PTKEY=3, IF('PT 2 Skill Tables'!X19=1, "History", IF('PT 2 Skill Tables'!Y19=1, "Science","")), IF(PTKEY=4, IF('PT 3 Skill Tables'!X19=1, "History", IF('PT 3 Skill Tables'!Y19=1, "Science","")), IF(PTKEY=5, IF('PT 4 Skill Tables'!X19=1, "History", IF('PT 4 Skill Tables'!Y19=1, "Science","")),IF(PTKEY=6, IF('PT 5 Skill Tables'!X19=1, "History", IF('PT 5 Skill Tables'!Y19=1, "Science","")), IF(PTKEY=7, IF('PT 6 Skill Tables'!X19=1, "History", IF('PT 6 Skill Tables'!Y19=1, "Science",""))))))))</f>
        <v/>
      </c>
      <c r="G117" s="75"/>
    </row>
    <row r="118" spans="1:7" ht="17.25" customHeight="1">
      <c r="A118" s="124">
        <v>16</v>
      </c>
      <c r="B118" s="124" t="str">
        <f>IF(Input!G25=""," ",Input!G25)</f>
        <v xml:space="preserve"> </v>
      </c>
      <c r="C118" s="124">
        <f>IF(PTKEY=2,'PT Answer Tables'!S19,IF(PTKEY=3,'PT Answer Tables'!T19, IF(PTKEY=4, 'PT Answer Tables'!U19, IF(PTKEY=5, 'PT Answer Tables'!V19, IF(PTKEY=6, 'PT Answer Tables'!W19, IF(PTKEY=7, 'PT Answer Tables'!X19, 0))))))</f>
        <v>2</v>
      </c>
      <c r="D118" s="124" t="str">
        <f>IF(PTKEY=2,'PT 1 Skill Tables'!U20,IF(PTKEY=3,'PT 2 Skill Tables'!U20,IF(PTKEY=4,'PT 3 Skill Tables'!U20,IF(PTKEY=5,'PT 4 Skill Tables'!U20,IF(PTKEY=6,'PT 5 Skill Tables'!U20,IF(PTKEY=7,'PT 6 Skill Tables'!U20,0))))))</f>
        <v>Passport to Advanced Mathematics</v>
      </c>
      <c r="E118" s="124" t="str">
        <f>IF(PTKEY=2,'PT 1 Skill Tables'!V20, IF(PTKEY=3, 'PT 2 Skill Tables'!V20, IF(PTKEY=4, 'PT 3 Skill Tables'!V20, IF( PTKEY=5, 'PT 4 Skill Tables'!V20, IF( PTKEY=6, 'PT 5 Skill Tables'!V20,IF( PTKEY=7, 'PT 6 Skill Tables'!V20,0))))))</f>
        <v>Solving Quadratic Equations</v>
      </c>
      <c r="F118" s="175" t="str">
        <f>IF(PTKEY=2, IF('PT 1 Skill Tables'!X20=1, "History", IF('PT 1 Skill Tables'!Y20=1, "Science","")), IF(PTKEY=3, IF('PT 2 Skill Tables'!X20=1, "History", IF('PT 2 Skill Tables'!Y20=1, "Science","")), IF(PTKEY=4, IF('PT 3 Skill Tables'!X20=1, "History", IF('PT 3 Skill Tables'!Y20=1, "Science","")), IF(PTKEY=5, IF('PT 4 Skill Tables'!X20=1, "History", IF('PT 4 Skill Tables'!Y20=1, "Science","")),IF(PTKEY=6, IF('PT 5 Skill Tables'!X20=1, "History", IF('PT 5 Skill Tables'!Y20=1, "Science","")), IF(PTKEY=7, IF('PT 6 Skill Tables'!X20=1, "History", IF('PT 6 Skill Tables'!Y20=1, "Science",""))))))))</f>
        <v/>
      </c>
      <c r="G118" s="75"/>
    </row>
    <row r="119" spans="1:7" ht="17.25" customHeight="1">
      <c r="A119" s="124">
        <v>17</v>
      </c>
      <c r="B119" s="124" t="str">
        <f>IF(Input!G26=""," ",Input!G26)</f>
        <v xml:space="preserve"> </v>
      </c>
      <c r="C119" s="124">
        <f>IF(PTKEY=2,'PT Answer Tables'!S20,IF(PTKEY=3,'PT Answer Tables'!T20, IF(PTKEY=4, 'PT Answer Tables'!U20, IF(PTKEY=5, 'PT Answer Tables'!V20, IF(PTKEY=6, 'PT Answer Tables'!W20, IF(PTKEY=7, 'PT Answer Tables'!X20, 0))))))</f>
        <v>1600</v>
      </c>
      <c r="D119" s="124" t="str">
        <f>IF(PTKEY=2,'PT 1 Skill Tables'!U21,IF(PTKEY=3,'PT 2 Skill Tables'!U21,IF(PTKEY=4,'PT 3 Skill Tables'!U21,IF(PTKEY=5,'PT 4 Skill Tables'!U21,IF(PTKEY=6,'PT 5 Skill Tables'!U21,IF(PTKEY=7,'PT 6 Skill Tables'!U21,0))))))</f>
        <v>Additional Topics in Math</v>
      </c>
      <c r="E119" s="124" t="str">
        <f>IF(PTKEY=2,'PT 1 Skill Tables'!V21, IF(PTKEY=3, 'PT 2 Skill Tables'!V21, IF(PTKEY=4, 'PT 3 Skill Tables'!V21, IF( PTKEY=5, 'PT 4 Skill Tables'!V21, IF( PTKEY=6, 'PT 5 Skill Tables'!V21,IF( PTKEY=7, 'PT 6 Skill Tables'!V21,0))))))</f>
        <v>Congruence and similarity</v>
      </c>
      <c r="F119" s="175" t="str">
        <f>IF(PTKEY=2, IF('PT 1 Skill Tables'!X21=1, "History", IF('PT 1 Skill Tables'!Y21=1, "Science","")), IF(PTKEY=3, IF('PT 2 Skill Tables'!X21=1, "History", IF('PT 2 Skill Tables'!Y21=1, "Science","")), IF(PTKEY=4, IF('PT 3 Skill Tables'!X21=1, "History", IF('PT 3 Skill Tables'!Y21=1, "Science","")), IF(PTKEY=5, IF('PT 4 Skill Tables'!X21=1, "History", IF('PT 4 Skill Tables'!Y21=1, "Science","")),IF(PTKEY=6, IF('PT 5 Skill Tables'!X21=1, "History", IF('PT 5 Skill Tables'!Y21=1, "Science","")), IF(PTKEY=7, IF('PT 6 Skill Tables'!X21=1, "History", IF('PT 6 Skill Tables'!Y21=1, "Science",""))))))))</f>
        <v/>
      </c>
      <c r="G119" s="75"/>
    </row>
    <row r="120" spans="1:7" ht="17.25" customHeight="1">
      <c r="A120" s="124">
        <v>18</v>
      </c>
      <c r="B120" s="124" t="str">
        <f>IF(Input!G27=""," ",Input!G27)</f>
        <v xml:space="preserve"> </v>
      </c>
      <c r="C120" s="124">
        <f>IF(PTKEY=2,'PT Answer Tables'!S21,IF(PTKEY=3,'PT Answer Tables'!T21, IF(PTKEY=4, 'PT Answer Tables'!U21, IF(PTKEY=5, 'PT Answer Tables'!V21, IF(PTKEY=6, 'PT Answer Tables'!W21, IF(PTKEY=7, 'PT Answer Tables'!X21, 0))))))</f>
        <v>7</v>
      </c>
      <c r="D120" s="124" t="str">
        <f>IF(PTKEY=2,'PT 1 Skill Tables'!U22,IF(PTKEY=3,'PT 2 Skill Tables'!U22,IF(PTKEY=4,'PT 3 Skill Tables'!U22,IF(PTKEY=5,'PT 4 Skill Tables'!U22,IF(PTKEY=6,'PT 5 Skill Tables'!U22,IF(PTKEY=7,'PT 6 Skill Tables'!U22,0))))))</f>
        <v>Heart of Algebra</v>
      </c>
      <c r="E120" s="124" t="str">
        <f>IF(PTKEY=2,'PT 1 Skill Tables'!V22, IF(PTKEY=3, 'PT 2 Skill Tables'!V22, IF(PTKEY=4, 'PT 3 Skill Tables'!V22, IF( PTKEY=5, 'PT 4 Skill Tables'!V22, IF( PTKEY=6, 'PT 5 Skill Tables'!V22,IF( PTKEY=7, 'PT 6 Skill Tables'!V22,0))))))</f>
        <v>Solving Systems of Linear Equations</v>
      </c>
      <c r="F120" s="175" t="str">
        <f>IF(PTKEY=2, IF('PT 1 Skill Tables'!X22=1, "History", IF('PT 1 Skill Tables'!Y22=1, "Science","")), IF(PTKEY=3, IF('PT 2 Skill Tables'!X22=1, "History", IF('PT 2 Skill Tables'!Y22=1, "Science","")), IF(PTKEY=4, IF('PT 3 Skill Tables'!X22=1, "History", IF('PT 3 Skill Tables'!Y22=1, "Science","")), IF(PTKEY=5, IF('PT 4 Skill Tables'!X22=1, "History", IF('PT 4 Skill Tables'!Y22=1, "Science","")),IF(PTKEY=6, IF('PT 5 Skill Tables'!X22=1, "History", IF('PT 5 Skill Tables'!Y22=1, "Science","")), IF(PTKEY=7, IF('PT 6 Skill Tables'!X22=1, "History", IF('PT 6 Skill Tables'!Y22=1, "Science",""))))))))</f>
        <v/>
      </c>
      <c r="G120" s="75"/>
    </row>
    <row r="121" spans="1:7" ht="17.25" customHeight="1">
      <c r="A121" s="124">
        <v>19</v>
      </c>
      <c r="B121" s="124" t="str">
        <f>IF(Input!G28=""," ",Input!G28)</f>
        <v xml:space="preserve"> </v>
      </c>
      <c r="C121" s="124">
        <f>IF(PTKEY=2,'PT Answer Tables'!S22,IF(PTKEY=3,'PT Answer Tables'!T22, IF(PTKEY=4, 'PT Answer Tables'!U22, IF(PTKEY=5, 'PT Answer Tables'!V22, IF(PTKEY=6, 'PT Answer Tables'!W22, IF(PTKEY=7, 'PT Answer Tables'!X22, 0))))))</f>
        <v>0.8</v>
      </c>
      <c r="D121" s="124" t="str">
        <f>IF(PTKEY=2,'PT 1 Skill Tables'!U23,IF(PTKEY=3,'PT 2 Skill Tables'!U23,IF(PTKEY=4,'PT 3 Skill Tables'!U23,IF(PTKEY=5,'PT 4 Skill Tables'!U23,IF(PTKEY=6,'PT 5 Skill Tables'!U23,IF(PTKEY=7,'PT 6 Skill Tables'!U23,0))))))</f>
        <v>Additional Topics in Math</v>
      </c>
      <c r="E121" s="124" t="str">
        <f>IF(PTKEY=2,'PT 1 Skill Tables'!V23, IF(PTKEY=3, 'PT 2 Skill Tables'!V23, IF(PTKEY=4, 'PT 3 Skill Tables'!V23, IF( PTKEY=5, 'PT 4 Skill Tables'!V23, IF( PTKEY=6, 'PT 5 Skill Tables'!V23,IF( PTKEY=7, 'PT 6 Skill Tables'!V23,0))))))</f>
        <v>Right triangle trigonometry</v>
      </c>
      <c r="F121" s="175" t="str">
        <f>IF(PTKEY=2, IF('PT 1 Skill Tables'!X23=1, "History", IF('PT 1 Skill Tables'!Y23=1, "Science","")), IF(PTKEY=3, IF('PT 2 Skill Tables'!X23=1, "History", IF('PT 2 Skill Tables'!Y23=1, "Science","")), IF(PTKEY=4, IF('PT 3 Skill Tables'!X23=1, "History", IF('PT 3 Skill Tables'!Y23=1, "Science","")), IF(PTKEY=5, IF('PT 4 Skill Tables'!X23=1, "History", IF('PT 4 Skill Tables'!Y23=1, "Science","")),IF(PTKEY=6, IF('PT 5 Skill Tables'!X23=1, "History", IF('PT 5 Skill Tables'!Y23=1, "Science","")), IF(PTKEY=7, IF('PT 6 Skill Tables'!X23=1, "History", IF('PT 6 Skill Tables'!Y23=1, "Science",""))))))))</f>
        <v/>
      </c>
      <c r="G121" s="75"/>
    </row>
    <row r="122" spans="1:7" ht="17.25" customHeight="1">
      <c r="A122" s="124">
        <v>20</v>
      </c>
      <c r="B122" s="124" t="str">
        <f>IF(Input!G29=""," ",Input!G29)</f>
        <v xml:space="preserve"> </v>
      </c>
      <c r="C122" s="124">
        <f>IF(PTKEY=2,'PT Answer Tables'!S23,IF(PTKEY=3,'PT Answer Tables'!T23, IF(PTKEY=4, 'PT Answer Tables'!U23, IF(PTKEY=5, 'PT Answer Tables'!V23, IF(PTKEY=6, 'PT Answer Tables'!W23, IF(PTKEY=7, 'PT Answer Tables'!X23, 0))))))</f>
        <v>100</v>
      </c>
      <c r="D122" s="124" t="str">
        <f>IF(PTKEY=2,'PT 1 Skill Tables'!U24,IF(PTKEY=3,'PT 2 Skill Tables'!U24,IF(PTKEY=4,'PT 3 Skill Tables'!U24,IF(PTKEY=5,'PT 4 Skill Tables'!U24,IF(PTKEY=6,'PT 5 Skill Tables'!U24,IF(PTKEY=7,'PT 6 Skill Tables'!U24,0))))))</f>
        <v>Passport to Advanced Mathematics</v>
      </c>
      <c r="E122" s="124" t="str">
        <f>IF(PTKEY=2,'PT 1 Skill Tables'!V24, IF(PTKEY=3, 'PT 2 Skill Tables'!V24, IF(PTKEY=4, 'PT 3 Skill Tables'!V24, IF( PTKEY=5, 'PT 4 Skill Tables'!V24, IF( PTKEY=6, 'PT 5 Skill Tables'!V24,IF( PTKEY=7, 'PT 6 Skill Tables'!V24,0))))))</f>
        <v>Radical and rational equations</v>
      </c>
      <c r="F122" s="175" t="str">
        <f>IF(PTKEY=2, IF('PT 1 Skill Tables'!X24=1, "History", IF('PT 1 Skill Tables'!Y24=1, "Science","")), IF(PTKEY=3, IF('PT 2 Skill Tables'!X24=1, "History", IF('PT 2 Skill Tables'!Y24=1, "Science","")), IF(PTKEY=4, IF('PT 3 Skill Tables'!X24=1, "History", IF('PT 3 Skill Tables'!Y24=1, "Science","")), IF(PTKEY=5, IF('PT 4 Skill Tables'!X24=1, "History", IF('PT 4 Skill Tables'!Y24=1, "Science","")),IF(PTKEY=6, IF('PT 5 Skill Tables'!X24=1, "History", IF('PT 5 Skill Tables'!Y24=1, "Science","")), IF(PTKEY=7, IF('PT 6 Skill Tables'!X24=1, "History", IF('PT 6 Skill Tables'!Y24=1, "Science",""))))))))</f>
        <v/>
      </c>
      <c r="G122" s="75"/>
    </row>
    <row r="123" spans="1:7" ht="160.5" customHeight="1">
      <c r="A123" s="312" t="s">
        <v>132</v>
      </c>
      <c r="B123" s="312"/>
      <c r="C123" s="312"/>
      <c r="D123" s="312"/>
    </row>
    <row r="124" spans="1:7" ht="31.5">
      <c r="A124" s="121" t="s">
        <v>19</v>
      </c>
      <c r="B124" s="122" t="s">
        <v>128</v>
      </c>
      <c r="C124" s="122" t="s">
        <v>129</v>
      </c>
      <c r="D124" s="122" t="s">
        <v>118</v>
      </c>
      <c r="E124" s="123" t="s">
        <v>119</v>
      </c>
      <c r="F124" s="122" t="s">
        <v>151</v>
      </c>
      <c r="G124" s="75"/>
    </row>
    <row r="125" spans="1:7" ht="18.75" customHeight="1">
      <c r="A125" s="124">
        <v>1</v>
      </c>
      <c r="B125" s="124" t="str">
        <f>IF(Input!I10=""," ",Input!I10)</f>
        <v xml:space="preserve"> </v>
      </c>
      <c r="C125" s="124" t="str">
        <f>IF(PTKEY=2,'PT Answer Tables'!AA4,IF(PTKEY=3,'PT Answer Tables'!AB4, IF(PTKEY=4, 'PT Answer Tables'!AC4, IF(PTKEY=5, 'PT Answer Tables'!AD4, IF(PTKEY=6, 'PT Answer Tables'!AE4,IF(PTKEY=7, 'PT Answer Tables'!AF4,0))))))</f>
        <v>b</v>
      </c>
      <c r="D125" s="124" t="str">
        <f>IF(PTKEY=2,'PT 1 Skill Tables'!AB5,IF(PTKEY=3,'PT 2 Skill Tables'!AB5,IF(PTKEY=4,'PT 3 Skill Tables'!AB5,IF(PTKEY=5,'PT 4 Skill Tables'!AB5,IF(PTKEY=6,'PT 5 Skill Tables'!AB5,IF(PTKEY=7,'PT 6 Skill Tables'!AB5,0))))))</f>
        <v>Problem Solving and Data Analysis</v>
      </c>
      <c r="E125" s="124" t="str">
        <f>IF(PTKEY=2,'PT 1 Skill Tables'!AC5,IF(PTKEY=3,'PT 2 Skill Tables'!AC5,IF(PTKEY=4,'PT 3 Skill Tables'!AC5,IF(PTKEY=5,'PT 4 Skill Tables'!AC5,IF(PTKEY=6,'PT 5 Skill Tables'!AC5, IF(PTKEY=7,'PT 6 Skill Tables'!AC5,0))))))</f>
        <v>Data inferences</v>
      </c>
      <c r="F125" s="175" t="str">
        <f>IF(PTKEY=2,IF('PT 1 Skill Tables'!AE5=1,"History",IF('PT 1 Skill Tables'!AF5=1,"Science","")),IF(PTKEY=3,IF('PT 2 Skill Tables'!AE5=1,"History",IF('PT 2 Skill Tables'!AF5=1,"Science","")), IF(PTKEY=4,IF('PT 3 Skill Tables'!AE5=1,"History",IF('PT 3 Skill Tables'!AF5=1,"Science","")), IF(PTKEY=5,IF('PT 4 Skill Tables'!AE5=1,"History",IF('PT 4 Skill Tables'!AF5=1,"Science","")),IF(PTKEY=6,IF('PT 5 Skill Tables'!AE5=1,"History",IF('PT 5 Skill Tables'!AF5=1,"Science","")), IF(PTKEY=7,IF('PT 6 Skill Tables'!AE5=1,"History",IF('PT 6 Skill Tables'!AF5=1,"Science",""))))))))</f>
        <v/>
      </c>
      <c r="G125" s="75"/>
    </row>
    <row r="126" spans="1:7" ht="18.75" customHeight="1">
      <c r="A126" s="124">
        <v>2</v>
      </c>
      <c r="B126" s="124" t="str">
        <f>IF(Input!I11=""," ",Input!I11)</f>
        <v xml:space="preserve"> </v>
      </c>
      <c r="C126" s="124" t="str">
        <f>IF(PTKEY=2,'PT Answer Tables'!AA5,IF(PTKEY=3,'PT Answer Tables'!AB5, IF(PTKEY=4, 'PT Answer Tables'!AC5, IF(PTKEY=5, 'PT Answer Tables'!AD5, IF(PTKEY=6, 'PT Answer Tables'!AE5,IF(PTKEY=7, 'PT Answer Tables'!AF5,0))))))</f>
        <v>c</v>
      </c>
      <c r="D126" s="124" t="str">
        <f>IF(PTKEY=2,'PT 1 Skill Tables'!AB6,IF(PTKEY=3,'PT 2 Skill Tables'!AB6,IF(PTKEY=4,'PT 3 Skill Tables'!AB6,IF(PTKEY=5,'PT 4 Skill Tables'!AB6,IF(PTKEY=6,'PT 5 Skill Tables'!AB6,IF(PTKEY=7,'PT 6 Skill Tables'!AB6,0))))))</f>
        <v>Problem Solving and Data Analysis</v>
      </c>
      <c r="E126" s="124" t="str">
        <f>IF(PTKEY=2,'PT 1 Skill Tables'!AC6,IF(PTKEY=3,'PT 2 Skill Tables'!AC6,IF(PTKEY=4,'PT 3 Skill Tables'!AC6,IF(PTKEY=5,'PT 4 Skill Tables'!AC6,IF(PTKEY=6,'PT 5 Skill Tables'!AC6, IF(PTKEY=7,'PT 6 Skill Tables'!AC6,0))))))</f>
        <v>Ratios, rates, and proportions</v>
      </c>
      <c r="F126" s="175" t="str">
        <f>IF(PTKEY=2,IF('PT 1 Skill Tables'!AE6=1,"History",IF('PT 1 Skill Tables'!AF6=1,"Science","")),IF(PTKEY=3,IF('PT 2 Skill Tables'!AE6=1,"History",IF('PT 2 Skill Tables'!AF6=1,"Science","")), IF(PTKEY=4,IF('PT 3 Skill Tables'!AE6=1,"History",IF('PT 3 Skill Tables'!AF6=1,"Science","")), IF(PTKEY=5,IF('PT 4 Skill Tables'!AE6=1,"History",IF('PT 4 Skill Tables'!AF6=1,"Science","")),IF(PTKEY=6,IF('PT 5 Skill Tables'!AE6=1,"History",IF('PT 5 Skill Tables'!AF6=1,"Science","")), IF(PTKEY=7,IF('PT 6 Skill Tables'!AE6=1,"History",IF('PT 6 Skill Tables'!AF6=1,"Science",""))))))))</f>
        <v/>
      </c>
      <c r="G126" s="75"/>
    </row>
    <row r="127" spans="1:7" ht="18.75" customHeight="1">
      <c r="A127" s="124">
        <v>3</v>
      </c>
      <c r="B127" s="124" t="str">
        <f>IF(Input!I12=""," ",Input!I12)</f>
        <v xml:space="preserve"> </v>
      </c>
      <c r="C127" s="124" t="str">
        <f>IF(PTKEY=2,'PT Answer Tables'!AA6,IF(PTKEY=3,'PT Answer Tables'!AB6, IF(PTKEY=4, 'PT Answer Tables'!AC6, IF(PTKEY=5, 'PT Answer Tables'!AD6, IF(PTKEY=6, 'PT Answer Tables'!AE6,IF(PTKEY=7, 'PT Answer Tables'!AF6,0))))))</f>
        <v>d</v>
      </c>
      <c r="D127" s="124" t="str">
        <f>IF(PTKEY=2,'PT 1 Skill Tables'!AB7,IF(PTKEY=3,'PT 2 Skill Tables'!AB7,IF(PTKEY=4,'PT 3 Skill Tables'!AB7,IF(PTKEY=5,'PT 4 Skill Tables'!AB7,IF(PTKEY=6,'PT 5 Skill Tables'!AB7,IF(PTKEY=7,'PT 6 Skill Tables'!AB7,0))))))</f>
        <v>Additional Topics in Math</v>
      </c>
      <c r="E127" s="124" t="str">
        <f>IF(PTKEY=2,'PT 1 Skill Tables'!AC7,IF(PTKEY=3,'PT 2 Skill Tables'!AC7,IF(PTKEY=4,'PT 3 Skill Tables'!AC7,IF(PTKEY=5,'PT 4 Skill Tables'!AC7,IF(PTKEY=6,'PT 5 Skill Tables'!AC7, IF(PTKEY=7,'PT 6 Skill Tables'!AC7,0))))))</f>
        <v>Angles, arc length, and trig functions</v>
      </c>
      <c r="F127" s="175" t="str">
        <f>IF(PTKEY=2,IF('PT 1 Skill Tables'!AE7=1,"History",IF('PT 1 Skill Tables'!AF7=1,"Science","")),IF(PTKEY=3,IF('PT 2 Skill Tables'!AE7=1,"History",IF('PT 2 Skill Tables'!AF7=1,"Science","")), IF(PTKEY=4,IF('PT 3 Skill Tables'!AE7=1,"History",IF('PT 3 Skill Tables'!AF7=1,"Science","")), IF(PTKEY=5,IF('PT 4 Skill Tables'!AE7=1,"History",IF('PT 4 Skill Tables'!AF7=1,"Science","")),IF(PTKEY=6,IF('PT 5 Skill Tables'!AE7=1,"History",IF('PT 5 Skill Tables'!AF7=1,"Science","")), IF(PTKEY=7,IF('PT 6 Skill Tables'!AE7=1,"History",IF('PT 6 Skill Tables'!AF7=1,"Science",""))))))))</f>
        <v/>
      </c>
      <c r="G127" s="75"/>
    </row>
    <row r="128" spans="1:7" ht="18.75" customHeight="1">
      <c r="A128" s="124">
        <v>4</v>
      </c>
      <c r="B128" s="124" t="str">
        <f>IF(Input!I13=""," ",Input!I13)</f>
        <v xml:space="preserve"> </v>
      </c>
      <c r="C128" s="124" t="str">
        <f>IF(PTKEY=2,'PT Answer Tables'!AA7,IF(PTKEY=3,'PT Answer Tables'!AB7, IF(PTKEY=4, 'PT Answer Tables'!AC7, IF(PTKEY=5, 'PT Answer Tables'!AD7, IF(PTKEY=6, 'PT Answer Tables'!AE7,IF(PTKEY=7, 'PT Answer Tables'!AF7,0))))))</f>
        <v>c</v>
      </c>
      <c r="D128" s="124" t="str">
        <f>IF(PTKEY=2,'PT 1 Skill Tables'!AB8,IF(PTKEY=3,'PT 2 Skill Tables'!AB8,IF(PTKEY=4,'PT 3 Skill Tables'!AB8,IF(PTKEY=5,'PT 4 Skill Tables'!AB8,IF(PTKEY=6,'PT 5 Skill Tables'!AB8,IF(PTKEY=7,'PT 6 Skill Tables'!AB8,0))))))</f>
        <v>Heart of Algebra</v>
      </c>
      <c r="E128" s="124" t="str">
        <f>IF(PTKEY=2,'PT 1 Skill Tables'!AC8,IF(PTKEY=3,'PT 2 Skill Tables'!AC8,IF(PTKEY=4,'PT 3 Skill Tables'!AC8,IF(PTKEY=5,'PT 4 Skill Tables'!AC8,IF(PTKEY=6,'PT 5 Skill Tables'!AC8, IF(PTKEY=7,'PT 6 Skill Tables'!AC8,0))))))</f>
        <v>Solving Linear Equations</v>
      </c>
      <c r="F128" s="175" t="str">
        <f>IF(PTKEY=2,IF('PT 1 Skill Tables'!AE8=1,"History",IF('PT 1 Skill Tables'!AF8=1,"Science","")),IF(PTKEY=3,IF('PT 2 Skill Tables'!AE8=1,"History",IF('PT 2 Skill Tables'!AF8=1,"Science","")), IF(PTKEY=4,IF('PT 3 Skill Tables'!AE8=1,"History",IF('PT 3 Skill Tables'!AF8=1,"Science","")), IF(PTKEY=5,IF('PT 4 Skill Tables'!AE8=1,"History",IF('PT 4 Skill Tables'!AF8=1,"Science","")),IF(PTKEY=6,IF('PT 5 Skill Tables'!AE8=1,"History",IF('PT 5 Skill Tables'!AF8=1,"Science","")), IF(PTKEY=7,IF('PT 6 Skill Tables'!AE8=1,"History",IF('PT 6 Skill Tables'!AF8=1,"Science",""))))))))</f>
        <v/>
      </c>
      <c r="G128" s="75"/>
    </row>
    <row r="129" spans="1:7" ht="18.75" customHeight="1">
      <c r="A129" s="124">
        <v>5</v>
      </c>
      <c r="B129" s="124" t="str">
        <f>IF(Input!I14=""," ",Input!I14)</f>
        <v xml:space="preserve"> </v>
      </c>
      <c r="C129" s="124" t="str">
        <f>IF(PTKEY=2,'PT Answer Tables'!AA8,IF(PTKEY=3,'PT Answer Tables'!AB8, IF(PTKEY=4, 'PT Answer Tables'!AC8, IF(PTKEY=5, 'PT Answer Tables'!AD8, IF(PTKEY=6, 'PT Answer Tables'!AE8,IF(PTKEY=7, 'PT Answer Tables'!AF8,0))))))</f>
        <v>d</v>
      </c>
      <c r="D129" s="124" t="str">
        <f>IF(PTKEY=2,'PT 1 Skill Tables'!AB9,IF(PTKEY=3,'PT 2 Skill Tables'!AB9,IF(PTKEY=4,'PT 3 Skill Tables'!AB9,IF(PTKEY=5,'PT 4 Skill Tables'!AB9,IF(PTKEY=6,'PT 5 Skill Tables'!AB9,IF(PTKEY=7,'PT 6 Skill Tables'!AB9,0))))))</f>
        <v>Problem Solving and Data Analysis</v>
      </c>
      <c r="E129" s="124" t="str">
        <f>IF(PTKEY=2,'PT 1 Skill Tables'!AC9,IF(PTKEY=3,'PT 2 Skill Tables'!AC9,IF(PTKEY=4,'PT 3 Skill Tables'!AC9,IF(PTKEY=5,'PT 4 Skill Tables'!AC9,IF(PTKEY=6,'PT 5 Skill Tables'!AC9, IF(PTKEY=7,'PT 6 Skill Tables'!AC9,0))))))</f>
        <v>Scatterplots</v>
      </c>
      <c r="F129" s="175" t="str">
        <f>IF(PTKEY=2,IF('PT 1 Skill Tables'!AE9=1,"History",IF('PT 1 Skill Tables'!AF9=1,"Science","")),IF(PTKEY=3,IF('PT 2 Skill Tables'!AE9=1,"History",IF('PT 2 Skill Tables'!AF9=1,"Science","")), IF(PTKEY=4,IF('PT 3 Skill Tables'!AE9=1,"History",IF('PT 3 Skill Tables'!AF9=1,"Science","")), IF(PTKEY=5,IF('PT 4 Skill Tables'!AE9=1,"History",IF('PT 4 Skill Tables'!AF9=1,"Science","")),IF(PTKEY=6,IF('PT 5 Skill Tables'!AE9=1,"History",IF('PT 5 Skill Tables'!AF9=1,"Science","")), IF(PTKEY=7,IF('PT 6 Skill Tables'!AE9=1,"History",IF('PT 6 Skill Tables'!AF9=1,"Science",""))))))))</f>
        <v/>
      </c>
      <c r="G129" s="75"/>
    </row>
    <row r="130" spans="1:7" ht="18.75" customHeight="1">
      <c r="A130" s="124">
        <v>6</v>
      </c>
      <c r="B130" s="124" t="str">
        <f>IF(Input!I15=""," ",Input!I15)</f>
        <v xml:space="preserve"> </v>
      </c>
      <c r="C130" s="124" t="str">
        <f>IF(PTKEY=2,'PT Answer Tables'!AA9,IF(PTKEY=3,'PT Answer Tables'!AB9, IF(PTKEY=4, 'PT Answer Tables'!AC9, IF(PTKEY=5, 'PT Answer Tables'!AD9, IF(PTKEY=6, 'PT Answer Tables'!AE9,IF(PTKEY=7, 'PT Answer Tables'!AF9,0))))))</f>
        <v>d</v>
      </c>
      <c r="D130" s="124" t="str">
        <f>IF(PTKEY=2,'PT 1 Skill Tables'!AB10,IF(PTKEY=3,'PT 2 Skill Tables'!AB10,IF(PTKEY=4,'PT 3 Skill Tables'!AB10,IF(PTKEY=5,'PT 4 Skill Tables'!AB10,IF(PTKEY=6,'PT 5 Skill Tables'!AB10,IF(PTKEY=7,'PT 6 Skill Tables'!AB10,0))))))</f>
        <v>Problem Solving and Data Analysis</v>
      </c>
      <c r="E130" s="124" t="str">
        <f>IF(PTKEY=2,'PT 1 Skill Tables'!AC10,IF(PTKEY=3,'PT 2 Skill Tables'!AC10,IF(PTKEY=4,'PT 3 Skill Tables'!AC10,IF(PTKEY=5,'PT 4 Skill Tables'!AC10,IF(PTKEY=6,'PT 5 Skill Tables'!AC10, IF(PTKEY=7,'PT 6 Skill Tables'!AC10,0))))))</f>
        <v>Units</v>
      </c>
      <c r="F130" s="175" t="str">
        <f>IF(PTKEY=2,IF('PT 1 Skill Tables'!AE10=1,"History",IF('PT 1 Skill Tables'!AF10=1,"Science","")),IF(PTKEY=3,IF('PT 2 Skill Tables'!AE10=1,"History",IF('PT 2 Skill Tables'!AF10=1,"Science","")), IF(PTKEY=4,IF('PT 3 Skill Tables'!AE10=1,"History",IF('PT 3 Skill Tables'!AF10=1,"Science","")), IF(PTKEY=5,IF('PT 4 Skill Tables'!AE10=1,"History",IF('PT 4 Skill Tables'!AF10=1,"Science","")),IF(PTKEY=6,IF('PT 5 Skill Tables'!AE10=1,"History",IF('PT 5 Skill Tables'!AF10=1,"Science","")), IF(PTKEY=7,IF('PT 6 Skill Tables'!AE10=1,"History",IF('PT 6 Skill Tables'!AF10=1,"Science",""))))))))</f>
        <v>Science</v>
      </c>
      <c r="G130" s="75"/>
    </row>
    <row r="131" spans="1:7" ht="18.75" customHeight="1">
      <c r="A131" s="124">
        <v>7</v>
      </c>
      <c r="B131" s="124" t="str">
        <f>IF(Input!I16=""," ",Input!I16)</f>
        <v xml:space="preserve"> </v>
      </c>
      <c r="C131" s="124" t="str">
        <f>IF(PTKEY=2,'PT Answer Tables'!AA10,IF(PTKEY=3,'PT Answer Tables'!AB10, IF(PTKEY=4, 'PT Answer Tables'!AC10, IF(PTKEY=5, 'PT Answer Tables'!AD10, IF(PTKEY=6, 'PT Answer Tables'!AE10,IF(PTKEY=7, 'PT Answer Tables'!AF10,0))))))</f>
        <v>c</v>
      </c>
      <c r="D131" s="124" t="str">
        <f>IF(PTKEY=2,'PT 1 Skill Tables'!AB11,IF(PTKEY=3,'PT 2 Skill Tables'!AB11,IF(PTKEY=4,'PT 3 Skill Tables'!AB11,IF(PTKEY=5,'PT 4 Skill Tables'!AB11,IF(PTKEY=6,'PT 5 Skill Tables'!AB11,IF(PTKEY=7,'PT 6 Skill Tables'!AB11,0))))))</f>
        <v>Problem Solving and Data Analysis</v>
      </c>
      <c r="E131" s="124" t="str">
        <f>IF(PTKEY=2,'PT 1 Skill Tables'!AC11,IF(PTKEY=3,'PT 2 Skill Tables'!AC11,IF(PTKEY=4,'PT 3 Skill Tables'!AC11,IF(PTKEY=5,'PT 4 Skill Tables'!AC11,IF(PTKEY=6,'PT 5 Skill Tables'!AC11, IF(PTKEY=7,'PT 6 Skill Tables'!AC11,0))))))</f>
        <v>Key features of graphs</v>
      </c>
      <c r="F131" s="175" t="str">
        <f>IF(PTKEY=2,IF('PT 1 Skill Tables'!AE11=1,"History",IF('PT 1 Skill Tables'!AF11=1,"Science","")),IF(PTKEY=3,IF('PT 2 Skill Tables'!AE11=1,"History",IF('PT 2 Skill Tables'!AF11=1,"Science","")), IF(PTKEY=4,IF('PT 3 Skill Tables'!AE11=1,"History",IF('PT 3 Skill Tables'!AF11=1,"Science","")), IF(PTKEY=5,IF('PT 4 Skill Tables'!AE11=1,"History",IF('PT 4 Skill Tables'!AF11=1,"Science","")),IF(PTKEY=6,IF('PT 5 Skill Tables'!AE11=1,"History",IF('PT 5 Skill Tables'!AF11=1,"Science","")), IF(PTKEY=7,IF('PT 6 Skill Tables'!AE11=1,"History",IF('PT 6 Skill Tables'!AF11=1,"Science",""))))))))</f>
        <v>History</v>
      </c>
      <c r="G131" s="75"/>
    </row>
    <row r="132" spans="1:7" ht="18.75" customHeight="1">
      <c r="A132" s="124">
        <v>8</v>
      </c>
      <c r="B132" s="124" t="str">
        <f>IF(Input!I17=""," ",Input!I17)</f>
        <v xml:space="preserve"> </v>
      </c>
      <c r="C132" s="124" t="str">
        <f>IF(PTKEY=2,'PT Answer Tables'!AA11,IF(PTKEY=3,'PT Answer Tables'!AB11, IF(PTKEY=4, 'PT Answer Tables'!AC11, IF(PTKEY=5, 'PT Answer Tables'!AD11, IF(PTKEY=6, 'PT Answer Tables'!AE11,IF(PTKEY=7, 'PT Answer Tables'!AF11,0))))))</f>
        <v>d</v>
      </c>
      <c r="D132" s="124" t="str">
        <f>IF(PTKEY=2,'PT 1 Skill Tables'!AB12,IF(PTKEY=3,'PT 2 Skill Tables'!AB12,IF(PTKEY=4,'PT 3 Skill Tables'!AB12,IF(PTKEY=5,'PT 4 Skill Tables'!AB12,IF(PTKEY=6,'PT 5 Skill Tables'!AB12,IF(PTKEY=7,'PT 6 Skill Tables'!AB12,0))))))</f>
        <v>Heart of Algebra</v>
      </c>
      <c r="E132" s="124" t="str">
        <f>IF(PTKEY=2,'PT 1 Skill Tables'!AC12,IF(PTKEY=3,'PT 2 Skill Tables'!AC12,IF(PTKEY=4,'PT 3 Skill Tables'!AC12,IF(PTKEY=5,'PT 4 Skill Tables'!AC12,IF(PTKEY=6,'PT 5 Skill Tables'!AC12, IF(PTKEY=7,'PT 6 Skill Tables'!AC12,0))))))</f>
        <v>Interpreting Linear Functions</v>
      </c>
      <c r="F132" s="175" t="str">
        <f>IF(PTKEY=2,IF('PT 1 Skill Tables'!AE12=1,"History",IF('PT 1 Skill Tables'!AF12=1,"Science","")),IF(PTKEY=3,IF('PT 2 Skill Tables'!AE12=1,"History",IF('PT 2 Skill Tables'!AF12=1,"Science","")), IF(PTKEY=4,IF('PT 3 Skill Tables'!AE12=1,"History",IF('PT 3 Skill Tables'!AF12=1,"Science","")), IF(PTKEY=5,IF('PT 4 Skill Tables'!AE12=1,"History",IF('PT 4 Skill Tables'!AF12=1,"Science","")),IF(PTKEY=6,IF('PT 5 Skill Tables'!AE12=1,"History",IF('PT 5 Skill Tables'!AF12=1,"Science","")), IF(PTKEY=7,IF('PT 6 Skill Tables'!AE12=1,"History",IF('PT 6 Skill Tables'!AF12=1,"Science",""))))))))</f>
        <v/>
      </c>
      <c r="G132" s="75"/>
    </row>
    <row r="133" spans="1:7" ht="18.75" customHeight="1">
      <c r="A133" s="124">
        <v>9</v>
      </c>
      <c r="B133" s="124" t="str">
        <f>IF(Input!I18=""," ",Input!I18)</f>
        <v xml:space="preserve"> </v>
      </c>
      <c r="C133" s="124" t="str">
        <f>IF(PTKEY=2,'PT Answer Tables'!AA12,IF(PTKEY=3,'PT Answer Tables'!AB12, IF(PTKEY=4, 'PT Answer Tables'!AC12, IF(PTKEY=5, 'PT Answer Tables'!AD12, IF(PTKEY=6, 'PT Answer Tables'!AE12,IF(PTKEY=7, 'PT Answer Tables'!AF12,0))))))</f>
        <v>a</v>
      </c>
      <c r="D133" s="124" t="str">
        <f>IF(PTKEY=2,'PT 1 Skill Tables'!AB13,IF(PTKEY=3,'PT 2 Skill Tables'!AB13,IF(PTKEY=4,'PT 3 Skill Tables'!AB13,IF(PTKEY=5,'PT 4 Skill Tables'!AB13,IF(PTKEY=6,'PT 5 Skill Tables'!AB13,IF(PTKEY=7,'PT 6 Skill Tables'!AB13,0))))))</f>
        <v>Passport to Advanced Mathematics</v>
      </c>
      <c r="E133" s="124" t="str">
        <f>IF(PTKEY=2,'PT 1 Skill Tables'!AC13,IF(PTKEY=3,'PT 2 Skill Tables'!AC13,IF(PTKEY=4,'PT 3 Skill Tables'!AC13,IF(PTKEY=5,'PT 4 Skill Tables'!AC13,IF(PTKEY=6,'PT 5 Skill Tables'!AC13, IF(PTKEY=7,'PT 6 Skill Tables'!AC13,0))))))</f>
        <v>Structure in expressions</v>
      </c>
      <c r="F133" s="175" t="str">
        <f>IF(PTKEY=2,IF('PT 1 Skill Tables'!AE13=1,"History",IF('PT 1 Skill Tables'!AF13=1,"Science","")),IF(PTKEY=3,IF('PT 2 Skill Tables'!AE13=1,"History",IF('PT 2 Skill Tables'!AF13=1,"Science","")), IF(PTKEY=4,IF('PT 3 Skill Tables'!AE13=1,"History",IF('PT 3 Skill Tables'!AF13=1,"Science","")), IF(PTKEY=5,IF('PT 4 Skill Tables'!AE13=1,"History",IF('PT 4 Skill Tables'!AF13=1,"Science","")),IF(PTKEY=6,IF('PT 5 Skill Tables'!AE13=1,"History",IF('PT 5 Skill Tables'!AF13=1,"Science","")), IF(PTKEY=7,IF('PT 6 Skill Tables'!AE13=1,"History",IF('PT 6 Skill Tables'!AF13=1,"Science",""))))))))</f>
        <v>Science</v>
      </c>
      <c r="G133" s="75"/>
    </row>
    <row r="134" spans="1:7" ht="18.75" customHeight="1">
      <c r="A134" s="124">
        <v>10</v>
      </c>
      <c r="B134" s="124" t="str">
        <f>IF(Input!I19=""," ",Input!I19)</f>
        <v xml:space="preserve"> </v>
      </c>
      <c r="C134" s="124" t="str">
        <f>IF(PTKEY=2,'PT Answer Tables'!AA13,IF(PTKEY=3,'PT Answer Tables'!AB13, IF(PTKEY=4, 'PT Answer Tables'!AC13, IF(PTKEY=5, 'PT Answer Tables'!AD13, IF(PTKEY=6, 'PT Answer Tables'!AE13,IF(PTKEY=7, 'PT Answer Tables'!AF13,0))))))</f>
        <v>b</v>
      </c>
      <c r="D134" s="124" t="str">
        <f>IF(PTKEY=2,'PT 1 Skill Tables'!AB14,IF(PTKEY=3,'PT 2 Skill Tables'!AB14,IF(PTKEY=4,'PT 3 Skill Tables'!AB14,IF(PTKEY=5,'PT 4 Skill Tables'!AB14,IF(PTKEY=6,'PT 5 Skill Tables'!AB14,IF(PTKEY=7,'PT 6 Skill Tables'!AB14,0))))))</f>
        <v>Heart of Algebra</v>
      </c>
      <c r="E134" s="124" t="str">
        <f>IF(PTKEY=2,'PT 1 Skill Tables'!AC14,IF(PTKEY=3,'PT 2 Skill Tables'!AC14,IF(PTKEY=4,'PT 3 Skill Tables'!AC14,IF(PTKEY=5,'PT 4 Skill Tables'!AC14,IF(PTKEY=6,'PT 5 Skill Tables'!AC14, IF(PTKEY=7,'PT 6 Skill Tables'!AC14,0))))))</f>
        <v>Solving Linear Equations</v>
      </c>
      <c r="F134" s="175" t="str">
        <f>IF(PTKEY=2,IF('PT 1 Skill Tables'!AE14=1,"History",IF('PT 1 Skill Tables'!AF14=1,"Science","")),IF(PTKEY=3,IF('PT 2 Skill Tables'!AE14=1,"History",IF('PT 2 Skill Tables'!AF14=1,"Science","")), IF(PTKEY=4,IF('PT 3 Skill Tables'!AE14=1,"History",IF('PT 3 Skill Tables'!AF14=1,"Science","")), IF(PTKEY=5,IF('PT 4 Skill Tables'!AE14=1,"History",IF('PT 4 Skill Tables'!AF14=1,"Science","")),IF(PTKEY=6,IF('PT 5 Skill Tables'!AE14=1,"History",IF('PT 5 Skill Tables'!AF14=1,"Science","")), IF(PTKEY=7,IF('PT 6 Skill Tables'!AE14=1,"History",IF('PT 6 Skill Tables'!AF14=1,"Science",""))))))))</f>
        <v/>
      </c>
      <c r="G134" s="75"/>
    </row>
    <row r="135" spans="1:7" ht="18.75" customHeight="1">
      <c r="A135" s="124">
        <v>11</v>
      </c>
      <c r="B135" s="124" t="str">
        <f>IF(Input!I20=""," ",Input!I20)</f>
        <v xml:space="preserve"> </v>
      </c>
      <c r="C135" s="124" t="str">
        <f>IF(PTKEY=2,'PT Answer Tables'!AA14,IF(PTKEY=3,'PT Answer Tables'!AB14, IF(PTKEY=4, 'PT Answer Tables'!AC14, IF(PTKEY=5, 'PT Answer Tables'!AD14, IF(PTKEY=6, 'PT Answer Tables'!AE14,IF(PTKEY=7, 'PT Answer Tables'!AF14,0))))))</f>
        <v>a</v>
      </c>
      <c r="D135" s="124" t="str">
        <f>IF(PTKEY=2,'PT 1 Skill Tables'!AB15,IF(PTKEY=3,'PT 2 Skill Tables'!AB15,IF(PTKEY=4,'PT 3 Skill Tables'!AB15,IF(PTKEY=5,'PT 4 Skill Tables'!AB15,IF(PTKEY=6,'PT 5 Skill Tables'!AB15,IF(PTKEY=7,'PT 6 Skill Tables'!AB15,0))))))</f>
        <v>Heart of Algebra</v>
      </c>
      <c r="E135" s="124" t="str">
        <f>IF(PTKEY=2,'PT 1 Skill Tables'!AC15,IF(PTKEY=3,'PT 2 Skill Tables'!AC15,IF(PTKEY=4,'PT 3 Skill Tables'!AC15,IF(PTKEY=5,'PT 4 Skill Tables'!AC15,IF(PTKEY=6,'PT 5 Skill Tables'!AC15, IF(PTKEY=7,'PT 6 Skill Tables'!AC15,0))))))</f>
        <v>Linear Inequality Word Problems</v>
      </c>
      <c r="F135" s="175" t="str">
        <f>IF(PTKEY=2,IF('PT 1 Skill Tables'!AE15=1,"History",IF('PT 1 Skill Tables'!AF15=1,"Science","")),IF(PTKEY=3,IF('PT 2 Skill Tables'!AE15=1,"History",IF('PT 2 Skill Tables'!AF15=1,"Science","")), IF(PTKEY=4,IF('PT 3 Skill Tables'!AE15=1,"History",IF('PT 3 Skill Tables'!AF15=1,"Science","")), IF(PTKEY=5,IF('PT 4 Skill Tables'!AE15=1,"History",IF('PT 4 Skill Tables'!AF15=1,"Science","")),IF(PTKEY=6,IF('PT 5 Skill Tables'!AE15=1,"History",IF('PT 5 Skill Tables'!AF15=1,"Science","")), IF(PTKEY=7,IF('PT 6 Skill Tables'!AE15=1,"History",IF('PT 6 Skill Tables'!AF15=1,"Science",""))))))))</f>
        <v/>
      </c>
      <c r="G135" s="75"/>
    </row>
    <row r="136" spans="1:7" ht="18.75" customHeight="1">
      <c r="A136" s="124">
        <v>12</v>
      </c>
      <c r="B136" s="124" t="str">
        <f>IF(Input!I21=""," ",Input!I21)</f>
        <v xml:space="preserve"> </v>
      </c>
      <c r="C136" s="124" t="str">
        <f>IF(PTKEY=2,'PT Answer Tables'!AA15,IF(PTKEY=3,'PT Answer Tables'!AB15, IF(PTKEY=4, 'PT Answer Tables'!AC15, IF(PTKEY=5, 'PT Answer Tables'!AD15, IF(PTKEY=6, 'PT Answer Tables'!AE15,IF(PTKEY=7, 'PT Answer Tables'!AF15,0))))))</f>
        <v>c</v>
      </c>
      <c r="D136" s="124" t="str">
        <f>IF(PTKEY=2,'PT 1 Skill Tables'!AB16,IF(PTKEY=3,'PT 2 Skill Tables'!AB16,IF(PTKEY=4,'PT 3 Skill Tables'!AB16,IF(PTKEY=5,'PT 4 Skill Tables'!AB16,IF(PTKEY=6,'PT 5 Skill Tables'!AB16,IF(PTKEY=7,'PT 6 Skill Tables'!AB16,0))))))</f>
        <v>Problem Solving and Data Analysis</v>
      </c>
      <c r="E136" s="124" t="str">
        <f>IF(PTKEY=2,'PT 1 Skill Tables'!AC16,IF(PTKEY=3,'PT 2 Skill Tables'!AC16,IF(PTKEY=4,'PT 3 Skill Tables'!AC16,IF(PTKEY=5,'PT 4 Skill Tables'!AC16,IF(PTKEY=6,'PT 5 Skill Tables'!AC16, IF(PTKEY=7,'PT 6 Skill Tables'!AC16,0))))))</f>
        <v>Data collection and conclusions</v>
      </c>
      <c r="F136" s="175" t="str">
        <f>IF(PTKEY=2,IF('PT 1 Skill Tables'!AE16=1,"History",IF('PT 1 Skill Tables'!AF16=1,"Science","")),IF(PTKEY=3,IF('PT 2 Skill Tables'!AE16=1,"History",IF('PT 2 Skill Tables'!AF16=1,"Science","")), IF(PTKEY=4,IF('PT 3 Skill Tables'!AE16=1,"History",IF('PT 3 Skill Tables'!AF16=1,"Science","")), IF(PTKEY=5,IF('PT 4 Skill Tables'!AE16=1,"History",IF('PT 4 Skill Tables'!AF16=1,"Science","")),IF(PTKEY=6,IF('PT 5 Skill Tables'!AE16=1,"History",IF('PT 5 Skill Tables'!AF16=1,"Science","")), IF(PTKEY=7,IF('PT 6 Skill Tables'!AE16=1,"History",IF('PT 6 Skill Tables'!AF16=1,"Science",""))))))))</f>
        <v/>
      </c>
      <c r="G136" s="75"/>
    </row>
    <row r="137" spans="1:7" ht="18.75" customHeight="1">
      <c r="A137" s="124">
        <v>13</v>
      </c>
      <c r="B137" s="124" t="str">
        <f>IF(Input!I22=""," ",Input!I22)</f>
        <v xml:space="preserve"> </v>
      </c>
      <c r="C137" s="124" t="str">
        <f>IF(PTKEY=2,'PT Answer Tables'!AA16,IF(PTKEY=3,'PT Answer Tables'!AB16, IF(PTKEY=4, 'PT Answer Tables'!AC16, IF(PTKEY=5, 'PT Answer Tables'!AD16, IF(PTKEY=6, 'PT Answer Tables'!AE16,IF(PTKEY=7, 'PT Answer Tables'!AF16,0))))))</f>
        <v>c</v>
      </c>
      <c r="D137" s="124" t="str">
        <f>IF(PTKEY=2,'PT 1 Skill Tables'!AB17,IF(PTKEY=3,'PT 2 Skill Tables'!AB17,IF(PTKEY=4,'PT 3 Skill Tables'!AB17,IF(PTKEY=5,'PT 4 Skill Tables'!AB17,IF(PTKEY=6,'PT 5 Skill Tables'!AB17,IF(PTKEY=7,'PT 6 Skill Tables'!AB17,0))))))</f>
        <v>Problem Solving and Data Analysis</v>
      </c>
      <c r="E137" s="124" t="str">
        <f>IF(PTKEY=2,'PT 1 Skill Tables'!AC17,IF(PTKEY=3,'PT 2 Skill Tables'!AC17,IF(PTKEY=4,'PT 3 Skill Tables'!AC17,IF(PTKEY=5,'PT 4 Skill Tables'!AC17,IF(PTKEY=6,'PT 5 Skill Tables'!AC17, IF(PTKEY=7,'PT 6 Skill Tables'!AC17,0))))))</f>
        <v>Table data</v>
      </c>
      <c r="F137" s="175" t="str">
        <f>IF(PTKEY=2,IF('PT 1 Skill Tables'!AE17=1,"History",IF('PT 1 Skill Tables'!AF17=1,"Science","")),IF(PTKEY=3,IF('PT 2 Skill Tables'!AE17=1,"History",IF('PT 2 Skill Tables'!AF17=1,"Science","")), IF(PTKEY=4,IF('PT 3 Skill Tables'!AE17=1,"History",IF('PT 3 Skill Tables'!AF17=1,"Science","")), IF(PTKEY=5,IF('PT 4 Skill Tables'!AE17=1,"History",IF('PT 4 Skill Tables'!AF17=1,"Science","")),IF(PTKEY=6,IF('PT 5 Skill Tables'!AE17=1,"History",IF('PT 5 Skill Tables'!AF17=1,"Science","")), IF(PTKEY=7,IF('PT 6 Skill Tables'!AE17=1,"History",IF('PT 6 Skill Tables'!AF17=1,"Science",""))))))))</f>
        <v/>
      </c>
      <c r="G137" s="75"/>
    </row>
    <row r="138" spans="1:7" ht="18.75" customHeight="1">
      <c r="A138" s="124">
        <v>14</v>
      </c>
      <c r="B138" s="124" t="str">
        <f>IF(Input!I23=""," ",Input!I23)</f>
        <v xml:space="preserve"> </v>
      </c>
      <c r="C138" s="124" t="str">
        <f>IF(PTKEY=2,'PT Answer Tables'!AA17,IF(PTKEY=3,'PT Answer Tables'!AB17, IF(PTKEY=4, 'PT Answer Tables'!AC17, IF(PTKEY=5, 'PT Answer Tables'!AD17, IF(PTKEY=6, 'PT Answer Tables'!AE17,IF(PTKEY=7, 'PT Answer Tables'!AF17,0))))))</f>
        <v>c</v>
      </c>
      <c r="D138" s="124" t="str">
        <f>IF(PTKEY=2,'PT 1 Skill Tables'!AB18,IF(PTKEY=3,'PT 2 Skill Tables'!AB18,IF(PTKEY=4,'PT 3 Skill Tables'!AB18,IF(PTKEY=5,'PT 4 Skill Tables'!AB18,IF(PTKEY=6,'PT 5 Skill Tables'!AB18,IF(PTKEY=7,'PT 6 Skill Tables'!AB18,0))))))</f>
        <v>Problem Solving and Data Analysis</v>
      </c>
      <c r="E138" s="124" t="str">
        <f>IF(PTKEY=2,'PT 1 Skill Tables'!AC18,IF(PTKEY=3,'PT 2 Skill Tables'!AC18,IF(PTKEY=4,'PT 3 Skill Tables'!AC18,IF(PTKEY=5,'PT 4 Skill Tables'!AC18,IF(PTKEY=6,'PT 5 Skill Tables'!AC18, IF(PTKEY=7,'PT 6 Skill Tables'!AC18,0))))))</f>
        <v>Table data</v>
      </c>
      <c r="F138" s="175" t="str">
        <f>IF(PTKEY=2,IF('PT 1 Skill Tables'!AE18=1,"History",IF('PT 1 Skill Tables'!AF18=1,"Science","")),IF(PTKEY=3,IF('PT 2 Skill Tables'!AE18=1,"History",IF('PT 2 Skill Tables'!AF18=1,"Science","")), IF(PTKEY=4,IF('PT 3 Skill Tables'!AE18=1,"History",IF('PT 3 Skill Tables'!AF18=1,"Science","")), IF(PTKEY=5,IF('PT 4 Skill Tables'!AE18=1,"History",IF('PT 4 Skill Tables'!AF18=1,"Science","")),IF(PTKEY=6,IF('PT 5 Skill Tables'!AE18=1,"History",IF('PT 5 Skill Tables'!AF18=1,"Science","")), IF(PTKEY=7,IF('PT 6 Skill Tables'!AE18=1,"History",IF('PT 6 Skill Tables'!AF18=1,"Science",""))))))))</f>
        <v>Science</v>
      </c>
      <c r="G138" s="75"/>
    </row>
    <row r="139" spans="1:7" ht="18.75" customHeight="1">
      <c r="A139" s="124">
        <v>15</v>
      </c>
      <c r="B139" s="124" t="str">
        <f>IF(Input!I24=""," ",Input!I24)</f>
        <v xml:space="preserve"> </v>
      </c>
      <c r="C139" s="124" t="str">
        <f>IF(PTKEY=2,'PT Answer Tables'!AA18,IF(PTKEY=3,'PT Answer Tables'!AB18, IF(PTKEY=4, 'PT Answer Tables'!AC18, IF(PTKEY=5, 'PT Answer Tables'!AD18, IF(PTKEY=6, 'PT Answer Tables'!AE18,IF(PTKEY=7, 'PT Answer Tables'!AF18,0))))))</f>
        <v>a</v>
      </c>
      <c r="D139" s="124" t="str">
        <f>IF(PTKEY=2,'PT 1 Skill Tables'!AB19,IF(PTKEY=3,'PT 2 Skill Tables'!AB19,IF(PTKEY=4,'PT 3 Skill Tables'!AB19,IF(PTKEY=5,'PT 4 Skill Tables'!AB19,IF(PTKEY=6,'PT 5 Skill Tables'!AB19,IF(PTKEY=7,'PT 6 Skill Tables'!AB19,0))))))</f>
        <v>Heart of Algebra</v>
      </c>
      <c r="E139" s="124" t="str">
        <f>IF(PTKEY=2,'PT 1 Skill Tables'!AC19,IF(PTKEY=3,'PT 2 Skill Tables'!AC19,IF(PTKEY=4,'PT 3 Skill Tables'!AC19,IF(PTKEY=5,'PT 4 Skill Tables'!AC19,IF(PTKEY=6,'PT 5 Skill Tables'!AC19, IF(PTKEY=7,'PT 6 Skill Tables'!AC19,0))))))</f>
        <v>Interpreting Linear Functions</v>
      </c>
      <c r="F139" s="175" t="str">
        <f>IF(PTKEY=2,IF('PT 1 Skill Tables'!AE19=1,"History",IF('PT 1 Skill Tables'!AF19=1,"Science","")),IF(PTKEY=3,IF('PT 2 Skill Tables'!AE19=1,"History",IF('PT 2 Skill Tables'!AF19=1,"Science","")), IF(PTKEY=4,IF('PT 3 Skill Tables'!AE19=1,"History",IF('PT 3 Skill Tables'!AF19=1,"Science","")), IF(PTKEY=5,IF('PT 4 Skill Tables'!AE19=1,"History",IF('PT 4 Skill Tables'!AF19=1,"Science","")),IF(PTKEY=6,IF('PT 5 Skill Tables'!AE19=1,"History",IF('PT 5 Skill Tables'!AF19=1,"Science","")), IF(PTKEY=7,IF('PT 6 Skill Tables'!AE19=1,"History",IF('PT 6 Skill Tables'!AF19=1,"Science",""))))))))</f>
        <v/>
      </c>
      <c r="G139" s="75"/>
    </row>
    <row r="140" spans="1:7" ht="18.75" customHeight="1">
      <c r="A140" s="124">
        <v>16</v>
      </c>
      <c r="B140" s="124" t="str">
        <f>IF(Input!I25=""," ",Input!I25)</f>
        <v xml:space="preserve"> </v>
      </c>
      <c r="C140" s="124" t="str">
        <f>IF(PTKEY=2,'PT Answer Tables'!AA19,IF(PTKEY=3,'PT Answer Tables'!AB19, IF(PTKEY=4, 'PT Answer Tables'!AC19, IF(PTKEY=5, 'PT Answer Tables'!AD19, IF(PTKEY=6, 'PT Answer Tables'!AE19,IF(PTKEY=7, 'PT Answer Tables'!AF19,0))))))</f>
        <v>c</v>
      </c>
      <c r="D140" s="124" t="str">
        <f>IF(PTKEY=2,'PT 1 Skill Tables'!AB20,IF(PTKEY=3,'PT 2 Skill Tables'!AB20,IF(PTKEY=4,'PT 3 Skill Tables'!AB20,IF(PTKEY=5,'PT 4 Skill Tables'!AB20,IF(PTKEY=6,'PT 5 Skill Tables'!AB20,IF(PTKEY=7,'PT 6 Skill Tables'!AB20,0))))))</f>
        <v>Heart of Algebra</v>
      </c>
      <c r="E140" s="124" t="str">
        <f>IF(PTKEY=2,'PT 1 Skill Tables'!AC20,IF(PTKEY=3,'PT 2 Skill Tables'!AC20,IF(PTKEY=4,'PT 3 Skill Tables'!AC20,IF(PTKEY=5,'PT 4 Skill Tables'!AC20,IF(PTKEY=6,'PT 5 Skill Tables'!AC20, IF(PTKEY=7,'PT 6 Skill Tables'!AC20,0))))))</f>
        <v>Interpreting Linear Functions</v>
      </c>
      <c r="F140" s="175" t="str">
        <f>IF(PTKEY=2,IF('PT 1 Skill Tables'!AE20=1,"History",IF('PT 1 Skill Tables'!AF20=1,"Science","")),IF(PTKEY=3,IF('PT 2 Skill Tables'!AE20=1,"History",IF('PT 2 Skill Tables'!AF20=1,"Science","")), IF(PTKEY=4,IF('PT 3 Skill Tables'!AE20=1,"History",IF('PT 3 Skill Tables'!AF20=1,"Science","")), IF(PTKEY=5,IF('PT 4 Skill Tables'!AE20=1,"History",IF('PT 4 Skill Tables'!AF20=1,"Science","")),IF(PTKEY=6,IF('PT 5 Skill Tables'!AE20=1,"History",IF('PT 5 Skill Tables'!AF20=1,"Science","")), IF(PTKEY=7,IF('PT 6 Skill Tables'!AE20=1,"History",IF('PT 6 Skill Tables'!AF20=1,"Science",""))))))))</f>
        <v/>
      </c>
      <c r="G140" s="75"/>
    </row>
    <row r="141" spans="1:7" ht="18.75" customHeight="1">
      <c r="A141" s="124">
        <v>17</v>
      </c>
      <c r="B141" s="124" t="str">
        <f>IF(Input!I26=""," ",Input!I26)</f>
        <v xml:space="preserve"> </v>
      </c>
      <c r="C141" s="124" t="str">
        <f>IF(PTKEY=2,'PT Answer Tables'!AA20,IF(PTKEY=3,'PT Answer Tables'!AB20, IF(PTKEY=4, 'PT Answer Tables'!AC20, IF(PTKEY=5, 'PT Answer Tables'!AD20, IF(PTKEY=6, 'PT Answer Tables'!AE20,IF(PTKEY=7, 'PT Answer Tables'!AF20,0))))))</f>
        <v>b</v>
      </c>
      <c r="D141" s="124" t="str">
        <f>IF(PTKEY=2,'PT 1 Skill Tables'!AB21,IF(PTKEY=3,'PT 2 Skill Tables'!AB21,IF(PTKEY=4,'PT 3 Skill Tables'!AB21,IF(PTKEY=5,'PT 4 Skill Tables'!AB21,IF(PTKEY=6,'PT 5 Skill Tables'!AB21,IF(PTKEY=7,'PT 6 Skill Tables'!AB21,0))))))</f>
        <v>Problem Solving and Data Analysis</v>
      </c>
      <c r="E141" s="124" t="str">
        <f>IF(PTKEY=2,'PT 1 Skill Tables'!AC21,IF(PTKEY=3,'PT 2 Skill Tables'!AC21,IF(PTKEY=4,'PT 3 Skill Tables'!AC21,IF(PTKEY=5,'PT 4 Skill Tables'!AC21,IF(PTKEY=6,'PT 5 Skill Tables'!AC21, IF(PTKEY=7,'PT 6 Skill Tables'!AC21,0))))))</f>
        <v>Key features of graphs</v>
      </c>
      <c r="F141" s="175" t="str">
        <f>IF(PTKEY=2,IF('PT 1 Skill Tables'!AE21=1,"History",IF('PT 1 Skill Tables'!AF21=1,"Science","")),IF(PTKEY=3,IF('PT 2 Skill Tables'!AE21=1,"History",IF('PT 2 Skill Tables'!AF21=1,"Science","")), IF(PTKEY=4,IF('PT 3 Skill Tables'!AE21=1,"History",IF('PT 3 Skill Tables'!AF21=1,"Science","")), IF(PTKEY=5,IF('PT 4 Skill Tables'!AE21=1,"History",IF('PT 4 Skill Tables'!AF21=1,"Science","")),IF(PTKEY=6,IF('PT 5 Skill Tables'!AE21=1,"History",IF('PT 5 Skill Tables'!AF21=1,"Science","")), IF(PTKEY=7,IF('PT 6 Skill Tables'!AE21=1,"History",IF('PT 6 Skill Tables'!AF21=1,"Science",""))))))))</f>
        <v/>
      </c>
      <c r="G141" s="75"/>
    </row>
    <row r="142" spans="1:7" ht="18.75" customHeight="1">
      <c r="A142" s="124">
        <v>18</v>
      </c>
      <c r="B142" s="124" t="str">
        <f>IF(Input!I27=""," ",Input!I27)</f>
        <v xml:space="preserve"> </v>
      </c>
      <c r="C142" s="124" t="str">
        <f>IF(PTKEY=2,'PT Answer Tables'!AA21,IF(PTKEY=3,'PT Answer Tables'!AB21, IF(PTKEY=4, 'PT Answer Tables'!AC21, IF(PTKEY=5, 'PT Answer Tables'!AD21, IF(PTKEY=6, 'PT Answer Tables'!AE21,IF(PTKEY=7, 'PT Answer Tables'!AF21,0))))))</f>
        <v>a</v>
      </c>
      <c r="D142" s="124" t="str">
        <f>IF(PTKEY=2,'PT 1 Skill Tables'!AB22,IF(PTKEY=3,'PT 2 Skill Tables'!AB22,IF(PTKEY=4,'PT 3 Skill Tables'!AB22,IF(PTKEY=5,'PT 4 Skill Tables'!AB22,IF(PTKEY=6,'PT 5 Skill Tables'!AB22,IF(PTKEY=7,'PT 6 Skill Tables'!AB22,0))))))</f>
        <v>Heart of Algebra</v>
      </c>
      <c r="E142" s="124" t="str">
        <f>IF(PTKEY=2,'PT 1 Skill Tables'!AC22,IF(PTKEY=3,'PT 2 Skill Tables'!AC22,IF(PTKEY=4,'PT 3 Skill Tables'!AC22,IF(PTKEY=5,'PT 4 Skill Tables'!AC22,IF(PTKEY=6,'PT 5 Skill Tables'!AC22, IF(PTKEY=7,'PT 6 Skill Tables'!AC22,0))))))</f>
        <v>Systems of Linear Inequalities Word Problems</v>
      </c>
      <c r="F142" s="175" t="str">
        <f>IF(PTKEY=2,IF('PT 1 Skill Tables'!AE22=1,"History",IF('PT 1 Skill Tables'!AF22=1,"Science","")),IF(PTKEY=3,IF('PT 2 Skill Tables'!AE22=1,"History",IF('PT 2 Skill Tables'!AF22=1,"Science","")), IF(PTKEY=4,IF('PT 3 Skill Tables'!AE22=1,"History",IF('PT 3 Skill Tables'!AF22=1,"Science","")), IF(PTKEY=5,IF('PT 4 Skill Tables'!AE22=1,"History",IF('PT 4 Skill Tables'!AF22=1,"Science","")),IF(PTKEY=6,IF('PT 5 Skill Tables'!AE22=1,"History",IF('PT 5 Skill Tables'!AF22=1,"Science","")), IF(PTKEY=7,IF('PT 6 Skill Tables'!AE22=1,"History",IF('PT 6 Skill Tables'!AF22=1,"Science",""))))))))</f>
        <v/>
      </c>
      <c r="G142" s="75"/>
    </row>
    <row r="143" spans="1:7" ht="18.75" customHeight="1">
      <c r="A143" s="124">
        <v>19</v>
      </c>
      <c r="B143" s="124" t="str">
        <f>IF(Input!I28=""," ",Input!I28)</f>
        <v xml:space="preserve"> </v>
      </c>
      <c r="C143" s="124" t="str">
        <f>IF(PTKEY=2,'PT Answer Tables'!AA22,IF(PTKEY=3,'PT Answer Tables'!AB22, IF(PTKEY=4, 'PT Answer Tables'!AC22, IF(PTKEY=5, 'PT Answer Tables'!AD22, IF(PTKEY=6, 'PT Answer Tables'!AE22,IF(PTKEY=7, 'PT Answer Tables'!AF22,0))))))</f>
        <v>b</v>
      </c>
      <c r="D143" s="124" t="str">
        <f>IF(PTKEY=2,'PT 1 Skill Tables'!AB23,IF(PTKEY=3,'PT 2 Skill Tables'!AB23,IF(PTKEY=4,'PT 3 Skill Tables'!AB23,IF(PTKEY=5,'PT 4 Skill Tables'!AB23,IF(PTKEY=6,'PT 5 Skill Tables'!AB23,IF(PTKEY=7,'PT 6 Skill Tables'!AB23,0))))))</f>
        <v>Heart of Algebra</v>
      </c>
      <c r="E143" s="124" t="str">
        <f>IF(PTKEY=2,'PT 1 Skill Tables'!AC23,IF(PTKEY=3,'PT 2 Skill Tables'!AC23,IF(PTKEY=4,'PT 3 Skill Tables'!AC23,IF(PTKEY=5,'PT 4 Skill Tables'!AC23,IF(PTKEY=6,'PT 5 Skill Tables'!AC23, IF(PTKEY=7,'PT 6 Skill Tables'!AC23,0))))))</f>
        <v>Systems of Linear Equations Word Problems</v>
      </c>
      <c r="F143" s="175" t="str">
        <f>IF(PTKEY=2,IF('PT 1 Skill Tables'!AE23=1,"History",IF('PT 1 Skill Tables'!AF23=1,"Science","")),IF(PTKEY=3,IF('PT 2 Skill Tables'!AE23=1,"History",IF('PT 2 Skill Tables'!AF23=1,"Science","")), IF(PTKEY=4,IF('PT 3 Skill Tables'!AE23=1,"History",IF('PT 3 Skill Tables'!AF23=1,"Science","")), IF(PTKEY=5,IF('PT 4 Skill Tables'!AE23=1,"History",IF('PT 4 Skill Tables'!AF23=1,"Science","")),IF(PTKEY=6,IF('PT 5 Skill Tables'!AE23=1,"History",IF('PT 5 Skill Tables'!AF23=1,"Science","")), IF(PTKEY=7,IF('PT 6 Skill Tables'!AE23=1,"History",IF('PT 6 Skill Tables'!AF23=1,"Science",""))))))))</f>
        <v/>
      </c>
      <c r="G143" s="75"/>
    </row>
    <row r="144" spans="1:7" ht="18.75" customHeight="1">
      <c r="A144" s="124">
        <v>20</v>
      </c>
      <c r="B144" s="124" t="str">
        <f>IF(Input!I29=""," ",Input!I29)</f>
        <v xml:space="preserve"> </v>
      </c>
      <c r="C144" s="124" t="str">
        <f>IF(PTKEY=2,'PT Answer Tables'!AA23,IF(PTKEY=3,'PT Answer Tables'!AB23, IF(PTKEY=4, 'PT Answer Tables'!AC23, IF(PTKEY=5, 'PT Answer Tables'!AD23, IF(PTKEY=6, 'PT Answer Tables'!AE23,IF(PTKEY=7, 'PT Answer Tables'!AF23,0))))))</f>
        <v>d</v>
      </c>
      <c r="D144" s="124" t="str">
        <f>IF(PTKEY=2,'PT 1 Skill Tables'!AB24,IF(PTKEY=3,'PT 2 Skill Tables'!AB24,IF(PTKEY=4,'PT 3 Skill Tables'!AB24,IF(PTKEY=5,'PT 4 Skill Tables'!AB24,IF(PTKEY=6,'PT 5 Skill Tables'!AB24,IF(PTKEY=7,'PT 6 Skill Tables'!AB24,0))))))</f>
        <v>Problem Solving and Data Analysis</v>
      </c>
      <c r="E144" s="124" t="str">
        <f>IF(PTKEY=2,'PT 1 Skill Tables'!AC24,IF(PTKEY=3,'PT 2 Skill Tables'!AC24,IF(PTKEY=4,'PT 3 Skill Tables'!AC24,IF(PTKEY=5,'PT 4 Skill Tables'!AC24,IF(PTKEY=6,'PT 5 Skill Tables'!AC24, IF(PTKEY=7,'PT 6 Skill Tables'!AC24,0))))))</f>
        <v>Percents</v>
      </c>
      <c r="F144" s="175" t="str">
        <f>IF(PTKEY=2,IF('PT 1 Skill Tables'!AE24=1,"History",IF('PT 1 Skill Tables'!AF24=1,"Science","")),IF(PTKEY=3,IF('PT 2 Skill Tables'!AE24=1,"History",IF('PT 2 Skill Tables'!AF24=1,"Science","")), IF(PTKEY=4,IF('PT 3 Skill Tables'!AE24=1,"History",IF('PT 3 Skill Tables'!AF24=1,"Science","")), IF(PTKEY=5,IF('PT 4 Skill Tables'!AE24=1,"History",IF('PT 4 Skill Tables'!AF24=1,"Science","")),IF(PTKEY=6,IF('PT 5 Skill Tables'!AE24=1,"History",IF('PT 5 Skill Tables'!AF24=1,"Science","")), IF(PTKEY=7,IF('PT 6 Skill Tables'!AE24=1,"History",IF('PT 6 Skill Tables'!AF24=1,"Science",""))))))))</f>
        <v/>
      </c>
      <c r="G144" s="75"/>
    </row>
    <row r="145" spans="1:7" ht="18.75" customHeight="1">
      <c r="A145" s="124">
        <v>21</v>
      </c>
      <c r="B145" s="124" t="str">
        <f>IF(Input!I30=""," ",Input!I30)</f>
        <v xml:space="preserve"> </v>
      </c>
      <c r="C145" s="124" t="str">
        <f>IF(PTKEY=2,'PT Answer Tables'!AA24,IF(PTKEY=3,'PT Answer Tables'!AB24, IF(PTKEY=4, 'PT Answer Tables'!AC24, IF(PTKEY=5, 'PT Answer Tables'!AD24, IF(PTKEY=6, 'PT Answer Tables'!AE24,IF(PTKEY=7, 'PT Answer Tables'!AF24,0))))))</f>
        <v>c</v>
      </c>
      <c r="D145" s="124" t="str">
        <f>IF(PTKEY=2,'PT 1 Skill Tables'!AB25,IF(PTKEY=3,'PT 2 Skill Tables'!AB25,IF(PTKEY=4,'PT 3 Skill Tables'!AB25,IF(PTKEY=5,'PT 4 Skill Tables'!AB25,IF(PTKEY=6,'PT 5 Skill Tables'!AB25,IF(PTKEY=7,'PT 6 Skill Tables'!AB25,0))))))</f>
        <v>Problem Solving and Data Analysis</v>
      </c>
      <c r="E145" s="124" t="str">
        <f>IF(PTKEY=2,'PT 1 Skill Tables'!AC25,IF(PTKEY=3,'PT 2 Skill Tables'!AC25,IF(PTKEY=4,'PT 3 Skill Tables'!AC25,IF(PTKEY=5,'PT 4 Skill Tables'!AC25,IF(PTKEY=6,'PT 5 Skill Tables'!AC25, IF(PTKEY=7,'PT 6 Skill Tables'!AC25,0))))))</f>
        <v>Table data</v>
      </c>
      <c r="F145" s="175" t="str">
        <f>IF(PTKEY=2,IF('PT 1 Skill Tables'!AE25=1,"History",IF('PT 1 Skill Tables'!AF25=1,"Science","")),IF(PTKEY=3,IF('PT 2 Skill Tables'!AE25=1,"History",IF('PT 2 Skill Tables'!AF25=1,"Science","")), IF(PTKEY=4,IF('PT 3 Skill Tables'!AE25=1,"History",IF('PT 3 Skill Tables'!AF25=1,"Science","")), IF(PTKEY=5,IF('PT 4 Skill Tables'!AE25=1,"History",IF('PT 4 Skill Tables'!AF25=1,"Science","")),IF(PTKEY=6,IF('PT 5 Skill Tables'!AE25=1,"History",IF('PT 5 Skill Tables'!AF25=1,"Science","")), IF(PTKEY=7,IF('PT 6 Skill Tables'!AE25=1,"History",IF('PT 6 Skill Tables'!AF25=1,"Science",""))))))))</f>
        <v>Science</v>
      </c>
      <c r="G145" s="75"/>
    </row>
    <row r="146" spans="1:7" ht="18.75" customHeight="1">
      <c r="A146" s="124">
        <v>22</v>
      </c>
      <c r="B146" s="124" t="str">
        <f>IF(Input!I31=""," ",Input!I31)</f>
        <v xml:space="preserve"> </v>
      </c>
      <c r="C146" s="124" t="str">
        <f>IF(PTKEY=2,'PT Answer Tables'!AA25,IF(PTKEY=3,'PT Answer Tables'!AB25, IF(PTKEY=4, 'PT Answer Tables'!AC25, IF(PTKEY=5, 'PT Answer Tables'!AD25, IF(PTKEY=6, 'PT Answer Tables'!AE25,IF(PTKEY=7, 'PT Answer Tables'!AF25,0))))))</f>
        <v>b</v>
      </c>
      <c r="D146" s="124" t="str">
        <f>IF(PTKEY=2,'PT 1 Skill Tables'!AB26,IF(PTKEY=3,'PT 2 Skill Tables'!AB26,IF(PTKEY=4,'PT 3 Skill Tables'!AB26,IF(PTKEY=5,'PT 4 Skill Tables'!AB26,IF(PTKEY=6,'PT 5 Skill Tables'!AB26,IF(PTKEY=7,'PT 6 Skill Tables'!AB26,0))))))</f>
        <v>Problem Solving and Data Analysis</v>
      </c>
      <c r="E146" s="124" t="str">
        <f>IF(PTKEY=2,'PT 1 Skill Tables'!AC26,IF(PTKEY=3,'PT 2 Skill Tables'!AC26,IF(PTKEY=4,'PT 3 Skill Tables'!AC26,IF(PTKEY=5,'PT 4 Skill Tables'!AC26,IF(PTKEY=6,'PT 5 Skill Tables'!AC26, IF(PTKEY=7,'PT 6 Skill Tables'!AC26,0))))))</f>
        <v>Table data</v>
      </c>
      <c r="F146" s="175" t="str">
        <f>IF(PTKEY=2,IF('PT 1 Skill Tables'!AE26=1,"History",IF('PT 1 Skill Tables'!AF26=1,"Science","")),IF(PTKEY=3,IF('PT 2 Skill Tables'!AE26=1,"History",IF('PT 2 Skill Tables'!AF26=1,"Science","")), IF(PTKEY=4,IF('PT 3 Skill Tables'!AE26=1,"History",IF('PT 3 Skill Tables'!AF26=1,"Science","")), IF(PTKEY=5,IF('PT 4 Skill Tables'!AE26=1,"History",IF('PT 4 Skill Tables'!AF26=1,"Science","")),IF(PTKEY=6,IF('PT 5 Skill Tables'!AE26=1,"History",IF('PT 5 Skill Tables'!AF26=1,"Science","")), IF(PTKEY=7,IF('PT 6 Skill Tables'!AE26=1,"History",IF('PT 6 Skill Tables'!AF26=1,"Science",""))))))))</f>
        <v>History</v>
      </c>
      <c r="G146" s="75"/>
    </row>
    <row r="147" spans="1:7" ht="18.75" customHeight="1">
      <c r="A147" s="124">
        <v>23</v>
      </c>
      <c r="B147" s="124" t="str">
        <f>IF(Input!I32=""," ",Input!I32)</f>
        <v xml:space="preserve"> </v>
      </c>
      <c r="C147" s="124" t="str">
        <f>IF(PTKEY=2,'PT Answer Tables'!AA26,IF(PTKEY=3,'PT Answer Tables'!AB26, IF(PTKEY=4, 'PT Answer Tables'!AC26, IF(PTKEY=5, 'PT Answer Tables'!AD26, IF(PTKEY=6, 'PT Answer Tables'!AE26,IF(PTKEY=7, 'PT Answer Tables'!AF26,0))))))</f>
        <v>b</v>
      </c>
      <c r="D147" s="124" t="str">
        <f>IF(PTKEY=2,'PT 1 Skill Tables'!AB27,IF(PTKEY=3,'PT 2 Skill Tables'!AB27,IF(PTKEY=4,'PT 3 Skill Tables'!AB27,IF(PTKEY=5,'PT 4 Skill Tables'!AB27,IF(PTKEY=6,'PT 5 Skill Tables'!AB27,IF(PTKEY=7,'PT 6 Skill Tables'!AB27,0))))))</f>
        <v>Problem Solving and Data Analysis</v>
      </c>
      <c r="E147" s="124" t="str">
        <f>IF(PTKEY=2,'PT 1 Skill Tables'!AC27,IF(PTKEY=3,'PT 2 Skill Tables'!AC27,IF(PTKEY=4,'PT 3 Skill Tables'!AC27,IF(PTKEY=5,'PT 4 Skill Tables'!AC27,IF(PTKEY=6,'PT 5 Skill Tables'!AC27, IF(PTKEY=7,'PT 6 Skill Tables'!AC27,0))))))</f>
        <v>Data inferences</v>
      </c>
      <c r="F147" s="175" t="str">
        <f>IF(PTKEY=2,IF('PT 1 Skill Tables'!AE27=1,"History",IF('PT 1 Skill Tables'!AF27=1,"Science","")),IF(PTKEY=3,IF('PT 2 Skill Tables'!AE27=1,"History",IF('PT 2 Skill Tables'!AF27=1,"Science","")), IF(PTKEY=4,IF('PT 3 Skill Tables'!AE27=1,"History",IF('PT 3 Skill Tables'!AF27=1,"Science","")), IF(PTKEY=5,IF('PT 4 Skill Tables'!AE27=1,"History",IF('PT 4 Skill Tables'!AF27=1,"Science","")),IF(PTKEY=6,IF('PT 5 Skill Tables'!AE27=1,"History",IF('PT 5 Skill Tables'!AF27=1,"Science","")), IF(PTKEY=7,IF('PT 6 Skill Tables'!AE27=1,"History",IF('PT 6 Skill Tables'!AF27=1,"Science",""))))))))</f>
        <v>History</v>
      </c>
      <c r="G147" s="75"/>
    </row>
    <row r="148" spans="1:7" ht="18.75" customHeight="1">
      <c r="A148" s="124">
        <v>24</v>
      </c>
      <c r="B148" s="124" t="str">
        <f>IF(Input!I33=""," ",Input!I33)</f>
        <v xml:space="preserve"> </v>
      </c>
      <c r="C148" s="124" t="str">
        <f>IF(PTKEY=2,'PT Answer Tables'!AA27,IF(PTKEY=3,'PT Answer Tables'!AB27, IF(PTKEY=4, 'PT Answer Tables'!AC27, IF(PTKEY=5, 'PT Answer Tables'!AD27, IF(PTKEY=6, 'PT Answer Tables'!AE27,IF(PTKEY=7, 'PT Answer Tables'!AF27,0))))))</f>
        <v>a</v>
      </c>
      <c r="D148" s="124" t="str">
        <f>IF(PTKEY=2,'PT 1 Skill Tables'!AB28,IF(PTKEY=3,'PT 2 Skill Tables'!AB28,IF(PTKEY=4,'PT 3 Skill Tables'!AB28,IF(PTKEY=5,'PT 4 Skill Tables'!AB28,IF(PTKEY=6,'PT 5 Skill Tables'!AB28,IF(PTKEY=7,'PT 6 Skill Tables'!AB28,0))))))</f>
        <v>Additional Topics in Math</v>
      </c>
      <c r="E148" s="124" t="str">
        <f>IF(PTKEY=2,'PT 1 Skill Tables'!AC28,IF(PTKEY=3,'PT 2 Skill Tables'!AC28,IF(PTKEY=4,'PT 3 Skill Tables'!AC28,IF(PTKEY=5,'PT 4 Skill Tables'!AC28,IF(PTKEY=6,'PT 5 Skill Tables'!AC28, IF(PTKEY=7,'PT 6 Skill Tables'!AC28,0))))))</f>
        <v>Circle equations</v>
      </c>
      <c r="F148" s="175" t="str">
        <f>IF(PTKEY=2,IF('PT 1 Skill Tables'!AE28=1,"History",IF('PT 1 Skill Tables'!AF28=1,"Science","")),IF(PTKEY=3,IF('PT 2 Skill Tables'!AE28=1,"History",IF('PT 2 Skill Tables'!AF28=1,"Science","")), IF(PTKEY=4,IF('PT 3 Skill Tables'!AE28=1,"History",IF('PT 3 Skill Tables'!AF28=1,"Science","")), IF(PTKEY=5,IF('PT 4 Skill Tables'!AE28=1,"History",IF('PT 4 Skill Tables'!AF28=1,"Science","")),IF(PTKEY=6,IF('PT 5 Skill Tables'!AE28=1,"History",IF('PT 5 Skill Tables'!AF28=1,"Science","")), IF(PTKEY=7,IF('PT 6 Skill Tables'!AE28=1,"History",IF('PT 6 Skill Tables'!AF28=1,"Science",""))))))))</f>
        <v/>
      </c>
      <c r="G148" s="75"/>
    </row>
    <row r="149" spans="1:7" ht="18.75" customHeight="1">
      <c r="A149" s="124">
        <v>25</v>
      </c>
      <c r="B149" s="124" t="str">
        <f>IF(Input!I34=""," ",Input!I34)</f>
        <v xml:space="preserve"> </v>
      </c>
      <c r="C149" s="124" t="str">
        <f>IF(PTKEY=2,'PT Answer Tables'!AA28,IF(PTKEY=3,'PT Answer Tables'!AB28, IF(PTKEY=4, 'PT Answer Tables'!AC28, IF(PTKEY=5, 'PT Answer Tables'!AD28, IF(PTKEY=6, 'PT Answer Tables'!AE28,IF(PTKEY=7, 'PT Answer Tables'!AF28,0))))))</f>
        <v>d</v>
      </c>
      <c r="D149" s="124" t="str">
        <f>IF(PTKEY=2,'PT 1 Skill Tables'!AB29,IF(PTKEY=3,'PT 2 Skill Tables'!AB29,IF(PTKEY=4,'PT 3 Skill Tables'!AB29,IF(PTKEY=5,'PT 4 Skill Tables'!AB29,IF(PTKEY=6,'PT 5 Skill Tables'!AB29,IF(PTKEY=7,'PT 6 Skill Tables'!AB29,0))))))</f>
        <v>Passport to Advanced Mathematics</v>
      </c>
      <c r="E149" s="124" t="str">
        <f>IF(PTKEY=2,'PT 1 Skill Tables'!AC29,IF(PTKEY=3,'PT 2 Skill Tables'!AC29,IF(PTKEY=4,'PT 3 Skill Tables'!AC29,IF(PTKEY=5,'PT 4 Skill Tables'!AC29,IF(PTKEY=6,'PT 5 Skill Tables'!AC29, IF(PTKEY=7,'PT 6 Skill Tables'!AC29,0))))))</f>
        <v>Quadratic and exponential word problems</v>
      </c>
      <c r="F149" s="175" t="str">
        <f>IF(PTKEY=2,IF('PT 1 Skill Tables'!AE29=1,"History",IF('PT 1 Skill Tables'!AF29=1,"Science","")),IF(PTKEY=3,IF('PT 2 Skill Tables'!AE29=1,"History",IF('PT 2 Skill Tables'!AF29=1,"Science","")), IF(PTKEY=4,IF('PT 3 Skill Tables'!AE29=1,"History",IF('PT 3 Skill Tables'!AF29=1,"Science","")), IF(PTKEY=5,IF('PT 4 Skill Tables'!AE29=1,"History",IF('PT 4 Skill Tables'!AF29=1,"Science","")),IF(PTKEY=6,IF('PT 5 Skill Tables'!AE29=1,"History",IF('PT 5 Skill Tables'!AF29=1,"Science","")), IF(PTKEY=7,IF('PT 6 Skill Tables'!AE29=1,"History",IF('PT 6 Skill Tables'!AF29=1,"Science",""))))))))</f>
        <v>Science</v>
      </c>
      <c r="G149" s="75"/>
    </row>
    <row r="150" spans="1:7" ht="18.75" customHeight="1">
      <c r="A150" s="124">
        <v>26</v>
      </c>
      <c r="B150" s="124" t="str">
        <f>IF(Input!I35=""," ",Input!I35)</f>
        <v xml:space="preserve"> </v>
      </c>
      <c r="C150" s="124" t="str">
        <f>IF(PTKEY=2,'PT Answer Tables'!AA29,IF(PTKEY=3,'PT Answer Tables'!AB29, IF(PTKEY=4, 'PT Answer Tables'!AC29, IF(PTKEY=5, 'PT Answer Tables'!AD29, IF(PTKEY=6, 'PT Answer Tables'!AE29,IF(PTKEY=7, 'PT Answer Tables'!AF29,0))))))</f>
        <v>b</v>
      </c>
      <c r="D150" s="124" t="str">
        <f>IF(PTKEY=2,'PT 1 Skill Tables'!AB30,IF(PTKEY=3,'PT 2 Skill Tables'!AB30,IF(PTKEY=4,'PT 3 Skill Tables'!AB30,IF(PTKEY=5,'PT 4 Skill Tables'!AB30,IF(PTKEY=6,'PT 5 Skill Tables'!AB30,IF(PTKEY=7,'PT 6 Skill Tables'!AB30,0))))))</f>
        <v>Problem Solving and Data Analysis</v>
      </c>
      <c r="E150" s="124" t="str">
        <f>IF(PTKEY=2,'PT 1 Skill Tables'!AC30,IF(PTKEY=3,'PT 2 Skill Tables'!AC30,IF(PTKEY=4,'PT 3 Skill Tables'!AC30,IF(PTKEY=5,'PT 4 Skill Tables'!AC30,IF(PTKEY=6,'PT 5 Skill Tables'!AC30, IF(PTKEY=7,'PT 6 Skill Tables'!AC30,0))))))</f>
        <v>Percents</v>
      </c>
      <c r="F150" s="175" t="str">
        <f>IF(PTKEY=2,IF('PT 1 Skill Tables'!AE30=1,"History",IF('PT 1 Skill Tables'!AF30=1,"Science","")),IF(PTKEY=3,IF('PT 2 Skill Tables'!AE30=1,"History",IF('PT 2 Skill Tables'!AF30=1,"Science","")), IF(PTKEY=4,IF('PT 3 Skill Tables'!AE30=1,"History",IF('PT 3 Skill Tables'!AF30=1,"Science","")), IF(PTKEY=5,IF('PT 4 Skill Tables'!AE30=1,"History",IF('PT 4 Skill Tables'!AF30=1,"Science","")),IF(PTKEY=6,IF('PT 5 Skill Tables'!AE30=1,"History",IF('PT 5 Skill Tables'!AF30=1,"Science","")), IF(PTKEY=7,IF('PT 6 Skill Tables'!AE30=1,"History",IF('PT 6 Skill Tables'!AF30=1,"Science",""))))))))</f>
        <v>Science</v>
      </c>
      <c r="G150" s="75"/>
    </row>
    <row r="151" spans="1:7" ht="18.75" customHeight="1">
      <c r="A151" s="124">
        <v>27</v>
      </c>
      <c r="B151" s="124" t="str">
        <f>IF(Input!I36=""," ",Input!I36)</f>
        <v xml:space="preserve"> </v>
      </c>
      <c r="C151" s="124" t="str">
        <f>IF(PTKEY=2,'PT Answer Tables'!AA30,IF(PTKEY=3,'PT Answer Tables'!AB30, IF(PTKEY=4, 'PT Answer Tables'!AC30, IF(PTKEY=5, 'PT Answer Tables'!AD30, IF(PTKEY=6, 'PT Answer Tables'!AE30,IF(PTKEY=7, 'PT Answer Tables'!AF30,0))))))</f>
        <v>c</v>
      </c>
      <c r="D151" s="124" t="str">
        <f>IF(PTKEY=2,'PT 1 Skill Tables'!AB31,IF(PTKEY=3,'PT 2 Skill Tables'!AB31,IF(PTKEY=4,'PT 3 Skill Tables'!AB31,IF(PTKEY=5,'PT 4 Skill Tables'!AB31,IF(PTKEY=6,'PT 5 Skill Tables'!AB31,IF(PTKEY=7,'PT 6 Skill Tables'!AB31,0))))))</f>
        <v>Problem Solving and Data Analysis</v>
      </c>
      <c r="E151" s="124" t="str">
        <f>IF(PTKEY=2,'PT 1 Skill Tables'!AC31,IF(PTKEY=3,'PT 2 Skill Tables'!AC31,IF(PTKEY=4,'PT 3 Skill Tables'!AC31,IF(PTKEY=5,'PT 4 Skill Tables'!AC31,IF(PTKEY=6,'PT 5 Skill Tables'!AC31, IF(PTKEY=7,'PT 6 Skill Tables'!AC31,0))))))</f>
        <v>Data inferences</v>
      </c>
      <c r="F151" s="175" t="str">
        <f>IF(PTKEY=2,IF('PT 1 Skill Tables'!AE31=1,"History",IF('PT 1 Skill Tables'!AF31=1,"Science","")),IF(PTKEY=3,IF('PT 2 Skill Tables'!AE31=1,"History",IF('PT 2 Skill Tables'!AF31=1,"Science","")), IF(PTKEY=4,IF('PT 3 Skill Tables'!AE31=1,"History",IF('PT 3 Skill Tables'!AF31=1,"Science","")), IF(PTKEY=5,IF('PT 4 Skill Tables'!AE31=1,"History",IF('PT 4 Skill Tables'!AF31=1,"Science","")),IF(PTKEY=6,IF('PT 5 Skill Tables'!AE31=1,"History",IF('PT 5 Skill Tables'!AF31=1,"Science","")), IF(PTKEY=7,IF('PT 6 Skill Tables'!AE31=1,"History",IF('PT 6 Skill Tables'!AF31=1,"Science",""))))))))</f>
        <v>Science</v>
      </c>
      <c r="G151" s="75"/>
    </row>
    <row r="152" spans="1:7" ht="18.75" customHeight="1">
      <c r="A152" s="124">
        <v>28</v>
      </c>
      <c r="B152" s="124" t="str">
        <f>IF(Input!I37=""," ",Input!I37)</f>
        <v xml:space="preserve"> </v>
      </c>
      <c r="C152" s="124" t="str">
        <f>IF(PTKEY=2,'PT Answer Tables'!AA31,IF(PTKEY=3,'PT Answer Tables'!AB31, IF(PTKEY=4, 'PT Answer Tables'!AC31, IF(PTKEY=5, 'PT Answer Tables'!AD31, IF(PTKEY=6, 'PT Answer Tables'!AE31,IF(PTKEY=7, 'PT Answer Tables'!AF31,0))))))</f>
        <v>c</v>
      </c>
      <c r="D152" s="124" t="str">
        <f>IF(PTKEY=2,'PT 1 Skill Tables'!AB32,IF(PTKEY=3,'PT 2 Skill Tables'!AB32,IF(PTKEY=4,'PT 3 Skill Tables'!AB32,IF(PTKEY=5,'PT 4 Skill Tables'!AB32,IF(PTKEY=6,'PT 5 Skill Tables'!AB32,IF(PTKEY=7,'PT 6 Skill Tables'!AB32,0))))))</f>
        <v>Heart of Algebra</v>
      </c>
      <c r="E152" s="124" t="str">
        <f>IF(PTKEY=2,'PT 1 Skill Tables'!AC32,IF(PTKEY=3,'PT 2 Skill Tables'!AC32,IF(PTKEY=4,'PT 3 Skill Tables'!AC32,IF(PTKEY=5,'PT 4 Skill Tables'!AC32,IF(PTKEY=6,'PT 5 Skill Tables'!AC32, IF(PTKEY=7,'PT 6 Skill Tables'!AC32,0))))))</f>
        <v>Systems of Linear Inequalities Word Problems</v>
      </c>
      <c r="F152" s="175" t="str">
        <f>IF(PTKEY=2,IF('PT 1 Skill Tables'!AE32=1,"History",IF('PT 1 Skill Tables'!AF32=1,"Science","")),IF(PTKEY=3,IF('PT 2 Skill Tables'!AE32=1,"History",IF('PT 2 Skill Tables'!AF32=1,"Science","")), IF(PTKEY=4,IF('PT 3 Skill Tables'!AE32=1,"History",IF('PT 3 Skill Tables'!AF32=1,"Science","")), IF(PTKEY=5,IF('PT 4 Skill Tables'!AE32=1,"History",IF('PT 4 Skill Tables'!AF32=1,"Science","")),IF(PTKEY=6,IF('PT 5 Skill Tables'!AE32=1,"History",IF('PT 5 Skill Tables'!AF32=1,"Science","")), IF(PTKEY=7,IF('PT 6 Skill Tables'!AE32=1,"History",IF('PT 6 Skill Tables'!AF32=1,"Science",""))))))))</f>
        <v/>
      </c>
      <c r="G152" s="75"/>
    </row>
    <row r="153" spans="1:7" ht="18.75" customHeight="1">
      <c r="A153" s="124">
        <v>29</v>
      </c>
      <c r="B153" s="124" t="str">
        <f>IF(Input!I38=""," ",Input!I38)</f>
        <v xml:space="preserve"> </v>
      </c>
      <c r="C153" s="124" t="str">
        <f>IF(PTKEY=2,'PT Answer Tables'!AA32,IF(PTKEY=3,'PT Answer Tables'!AB32, IF(PTKEY=4, 'PT Answer Tables'!AC32, IF(PTKEY=5, 'PT Answer Tables'!AD32, IF(PTKEY=6, 'PT Answer Tables'!AE32,IF(PTKEY=7, 'PT Answer Tables'!AF32,0))))))</f>
        <v>d</v>
      </c>
      <c r="D153" s="124" t="str">
        <f>IF(PTKEY=2,'PT 1 Skill Tables'!AB33,IF(PTKEY=3,'PT 2 Skill Tables'!AB33,IF(PTKEY=4,'PT 3 Skill Tables'!AB33,IF(PTKEY=5,'PT 4 Skill Tables'!AB33,IF(PTKEY=6,'PT 5 Skill Tables'!AB33,IF(PTKEY=7,'PT 6 Skill Tables'!AB33,0))))))</f>
        <v>Passport to Advanced Mathematics</v>
      </c>
      <c r="E153" s="124" t="str">
        <f>IF(PTKEY=2,'PT 1 Skill Tables'!AC33,IF(PTKEY=3,'PT 2 Skill Tables'!AC33,IF(PTKEY=4,'PT 3 Skill Tables'!AC33,IF(PTKEY=5,'PT 4 Skill Tables'!AC33,IF(PTKEY=6,'PT 5 Skill Tables'!AC33, IF(PTKEY=7,'PT 6 Skill Tables'!AC33,0))))))</f>
        <v>Polynomial factors and graphs</v>
      </c>
      <c r="F153" s="175" t="str">
        <f>IF(PTKEY=2,IF('PT 1 Skill Tables'!AE33=1,"History",IF('PT 1 Skill Tables'!AF33=1,"Science","")),IF(PTKEY=3,IF('PT 2 Skill Tables'!AE33=1,"History",IF('PT 2 Skill Tables'!AF33=1,"Science","")), IF(PTKEY=4,IF('PT 3 Skill Tables'!AE33=1,"History",IF('PT 3 Skill Tables'!AF33=1,"Science","")), IF(PTKEY=5,IF('PT 4 Skill Tables'!AE33=1,"History",IF('PT 4 Skill Tables'!AF33=1,"Science","")),IF(PTKEY=6,IF('PT 5 Skill Tables'!AE33=1,"History",IF('PT 5 Skill Tables'!AF33=1,"Science","")), IF(PTKEY=7,IF('PT 6 Skill Tables'!AE33=1,"History",IF('PT 6 Skill Tables'!AF33=1,"Science",""))))))))</f>
        <v/>
      </c>
      <c r="G153" s="75"/>
    </row>
    <row r="154" spans="1:7" ht="18.75" customHeight="1">
      <c r="A154" s="124">
        <v>30</v>
      </c>
      <c r="B154" s="124" t="str">
        <f>IF(Input!I39=""," ",Input!I39)</f>
        <v xml:space="preserve"> </v>
      </c>
      <c r="C154" s="124" t="str">
        <f>IF(PTKEY=2,'PT Answer Tables'!AA33,IF(PTKEY=3,'PT Answer Tables'!AB33, IF(PTKEY=4, 'PT Answer Tables'!AC33, IF(PTKEY=5, 'PT Answer Tables'!AD33, IF(PTKEY=6, 'PT Answer Tables'!AE33,IF(PTKEY=7, 'PT Answer Tables'!AF33,0))))))</f>
        <v>d</v>
      </c>
      <c r="D154" s="124" t="str">
        <f>IF(PTKEY=2,'PT 1 Skill Tables'!AB34,IF(PTKEY=3,'PT 2 Skill Tables'!AB34,IF(PTKEY=4,'PT 3 Skill Tables'!AB34,IF(PTKEY=5,'PT 4 Skill Tables'!AB34,IF(PTKEY=6,'PT 5 Skill Tables'!AB34,IF(PTKEY=7,'PT 6 Skill Tables'!AB34,0))))))</f>
        <v>Passport to Advanced Mathematics</v>
      </c>
      <c r="E154" s="124" t="str">
        <f>IF(PTKEY=2,'PT 1 Skill Tables'!AC34,IF(PTKEY=3,'PT 2 Skill Tables'!AC34,IF(PTKEY=4,'PT 3 Skill Tables'!AC34,IF(PTKEY=5,'PT 4 Skill Tables'!AC34,IF(PTKEY=6,'PT 5 Skill Tables'!AC34, IF(PTKEY=7,'PT 6 Skill Tables'!AC34,0))))))</f>
        <v>Radicals and rational exponents</v>
      </c>
      <c r="F154" s="175" t="str">
        <f>IF(PTKEY=2,IF('PT 1 Skill Tables'!AE34=1,"History",IF('PT 1 Skill Tables'!AF34=1,"Science","")),IF(PTKEY=3,IF('PT 2 Skill Tables'!AE34=1,"History",IF('PT 2 Skill Tables'!AF34=1,"Science","")), IF(PTKEY=4,IF('PT 3 Skill Tables'!AE34=1,"History",IF('PT 3 Skill Tables'!AF34=1,"Science","")), IF(PTKEY=5,IF('PT 4 Skill Tables'!AE34=1,"History",IF('PT 4 Skill Tables'!AF34=1,"Science","")),IF(PTKEY=6,IF('PT 5 Skill Tables'!AE34=1,"History",IF('PT 5 Skill Tables'!AF34=1,"Science","")), IF(PTKEY=7,IF('PT 6 Skill Tables'!AE34=1,"History",IF('PT 6 Skill Tables'!AF34=1,"Science",""))))))))</f>
        <v/>
      </c>
      <c r="G154" s="75"/>
    </row>
    <row r="155" spans="1:7" ht="18.75" customHeight="1">
      <c r="A155" s="124">
        <v>31</v>
      </c>
      <c r="B155" s="124" t="str">
        <f>IF(Input!I40=""," ",Input!I40)</f>
        <v xml:space="preserve"> </v>
      </c>
      <c r="C155" s="124" t="str">
        <f>IF(PTKEY=2,'PT Answer Tables'!AA34,IF(PTKEY=3,'PT Answer Tables'!AB34, IF(PTKEY=4, 'PT Answer Tables'!AC34, IF(PTKEY=5, 'PT Answer Tables'!AD34, IF(PTKEY=6, 'PT Answer Tables'!AE34,IF(PTKEY=7, 'PT Answer Tables'!AF34,0))))))</f>
        <v>4&lt;=x&lt;=6</v>
      </c>
      <c r="D155" s="124" t="str">
        <f>IF(PTKEY=2,'PT 1 Skill Tables'!AB35,IF(PTKEY=3,'PT 2 Skill Tables'!AB35,IF(PTKEY=4,'PT 3 Skill Tables'!AB35,IF(PTKEY=5,'PT 4 Skill Tables'!AB35,IF(PTKEY=6,'PT 5 Skill Tables'!AB35,IF(PTKEY=7,'PT 6 Skill Tables'!AB35,0))))))</f>
        <v>Heart of Algebra</v>
      </c>
      <c r="E155" s="124" t="str">
        <f>IF(PTKEY=2,'PT 1 Skill Tables'!AC35,IF(PTKEY=3,'PT 2 Skill Tables'!AC35,IF(PTKEY=4,'PT 3 Skill Tables'!AC35,IF(PTKEY=5,'PT 4 Skill Tables'!AC35,IF(PTKEY=6,'PT 5 Skill Tables'!AC35, IF(PTKEY=7,'PT 6 Skill Tables'!AC35,0))))))</f>
        <v>Systems of Linear Inequalities Word Problems</v>
      </c>
      <c r="F155" s="175" t="str">
        <f>IF(PTKEY=2,IF('PT 1 Skill Tables'!AE35=1,"History",IF('PT 1 Skill Tables'!AF35=1,"Science","")),IF(PTKEY=3,IF('PT 2 Skill Tables'!AE35=1,"History",IF('PT 2 Skill Tables'!AF35=1,"Science","")), IF(PTKEY=4,IF('PT 3 Skill Tables'!AE35=1,"History",IF('PT 3 Skill Tables'!AF35=1,"Science","")), IF(PTKEY=5,IF('PT 4 Skill Tables'!AE35=1,"History",IF('PT 4 Skill Tables'!AF35=1,"Science","")),IF(PTKEY=6,IF('PT 5 Skill Tables'!AE35=1,"History",IF('PT 5 Skill Tables'!AF35=1,"Science","")), IF(PTKEY=7,IF('PT 6 Skill Tables'!AE35=1,"History",IF('PT 6 Skill Tables'!AF35=1,"Science",""))))))))</f>
        <v/>
      </c>
      <c r="G155" s="75"/>
    </row>
    <row r="156" spans="1:7" ht="18.75" customHeight="1">
      <c r="A156" s="124">
        <v>32</v>
      </c>
      <c r="B156" s="124" t="str">
        <f>IF(Input!I41=""," ",Input!I41)</f>
        <v xml:space="preserve"> </v>
      </c>
      <c r="C156" s="124">
        <f>IF(PTKEY=2,'PT Answer Tables'!AA35,IF(PTKEY=3,'PT Answer Tables'!AB35, IF(PTKEY=4, 'PT Answer Tables'!AC35, IF(PTKEY=5, 'PT Answer Tables'!AD35, IF(PTKEY=6, 'PT Answer Tables'!AE35,IF(PTKEY=7, 'PT Answer Tables'!AF35,0))))))</f>
        <v>107</v>
      </c>
      <c r="D156" s="124" t="str">
        <f>IF(PTKEY=2,'PT 1 Skill Tables'!AB36,IF(PTKEY=3,'PT 2 Skill Tables'!AB36,IF(PTKEY=4,'PT 3 Skill Tables'!AB36,IF(PTKEY=5,'PT 4 Skill Tables'!AB36,IF(PTKEY=6,'PT 5 Skill Tables'!AB36,IF(PTKEY=7,'PT 6 Skill Tables'!AB36,0))))))</f>
        <v>Heart of Algebra</v>
      </c>
      <c r="E156" s="124" t="str">
        <f>IF(PTKEY=2,'PT 1 Skill Tables'!AC36,IF(PTKEY=3,'PT 2 Skill Tables'!AC36,IF(PTKEY=4,'PT 3 Skill Tables'!AC36,IF(PTKEY=5,'PT 4 Skill Tables'!AC36,IF(PTKEY=6,'PT 5 Skill Tables'!AC36, IF(PTKEY=7,'PT 6 Skill Tables'!AC36,0))))))</f>
        <v>Systems of Linear Inequalities Word Problems</v>
      </c>
      <c r="F156" s="175" t="str">
        <f>IF(PTKEY=2,IF('PT 1 Skill Tables'!AE36=1,"History",IF('PT 1 Skill Tables'!AF36=1,"Science","")),IF(PTKEY=3,IF('PT 2 Skill Tables'!AE36=1,"History",IF('PT 2 Skill Tables'!AF36=1,"Science","")), IF(PTKEY=4,IF('PT 3 Skill Tables'!AE36=1,"History",IF('PT 3 Skill Tables'!AF36=1,"Science","")), IF(PTKEY=5,IF('PT 4 Skill Tables'!AE36=1,"History",IF('PT 4 Skill Tables'!AF36=1,"Science","")),IF(PTKEY=6,IF('PT 5 Skill Tables'!AE36=1,"History",IF('PT 5 Skill Tables'!AF36=1,"Science","")), IF(PTKEY=7,IF('PT 6 Skill Tables'!AE36=1,"History",IF('PT 6 Skill Tables'!AF36=1,"Science",""))))))))</f>
        <v/>
      </c>
      <c r="G156" s="75"/>
    </row>
    <row r="157" spans="1:7" ht="18.75" customHeight="1">
      <c r="A157" s="124">
        <v>33</v>
      </c>
      <c r="B157" s="124" t="str">
        <f>IF(Input!I42=""," ",Input!I42)</f>
        <v xml:space="preserve"> </v>
      </c>
      <c r="C157" s="124">
        <f>IF(PTKEY=2,'PT Answer Tables'!AA36,IF(PTKEY=3,'PT Answer Tables'!AB36, IF(PTKEY=4, 'PT Answer Tables'!AC36, IF(PTKEY=5, 'PT Answer Tables'!AD36, IF(PTKEY=6, 'PT Answer Tables'!AE36,IF(PTKEY=7, 'PT Answer Tables'!AF36,0))))))</f>
        <v>0.625</v>
      </c>
      <c r="D157" s="124" t="str">
        <f>IF(PTKEY=2,'PT 1 Skill Tables'!AB37,IF(PTKEY=3,'PT 2 Skill Tables'!AB37,IF(PTKEY=4,'PT 3 Skill Tables'!AB37,IF(PTKEY=5,'PT 4 Skill Tables'!AB37,IF(PTKEY=6,'PT 5 Skill Tables'!AB37,IF(PTKEY=7,'PT 6 Skill Tables'!AB37,0))))))</f>
        <v>Problem Solving and Data Analysis</v>
      </c>
      <c r="E157" s="124" t="str">
        <f>IF(PTKEY=2,'PT 1 Skill Tables'!AC37,IF(PTKEY=3,'PT 2 Skill Tables'!AC37,IF(PTKEY=4,'PT 3 Skill Tables'!AC37,IF(PTKEY=5,'PT 4 Skill Tables'!AC37,IF(PTKEY=6,'PT 5 Skill Tables'!AC37, IF(PTKEY=7,'PT 6 Skill Tables'!AC37,0))))))</f>
        <v>Data collection and conclusions</v>
      </c>
      <c r="F157" s="175" t="str">
        <f>IF(PTKEY=2,IF('PT 1 Skill Tables'!AE37=1,"History",IF('PT 1 Skill Tables'!AF37=1,"Science","")),IF(PTKEY=3,IF('PT 2 Skill Tables'!AE37=1,"History",IF('PT 2 Skill Tables'!AF37=1,"Science","")), IF(PTKEY=4,IF('PT 3 Skill Tables'!AE37=1,"History",IF('PT 3 Skill Tables'!AF37=1,"Science","")), IF(PTKEY=5,IF('PT 4 Skill Tables'!AE37=1,"History",IF('PT 4 Skill Tables'!AF37=1,"Science","")),IF(PTKEY=6,IF('PT 5 Skill Tables'!AE37=1,"History",IF('PT 5 Skill Tables'!AF37=1,"Science","")), IF(PTKEY=7,IF('PT 6 Skill Tables'!AE37=1,"History",IF('PT 6 Skill Tables'!AF37=1,"Science",""))))))))</f>
        <v>History</v>
      </c>
      <c r="G157" s="75"/>
    </row>
    <row r="158" spans="1:7" ht="18.75" customHeight="1">
      <c r="A158" s="124">
        <v>34</v>
      </c>
      <c r="B158" s="124" t="str">
        <f>IF(Input!I43=""," ",Input!I43)</f>
        <v xml:space="preserve"> </v>
      </c>
      <c r="C158" s="124">
        <f>IF(PTKEY=2,'PT Answer Tables'!AA37,IF(PTKEY=3,'PT Answer Tables'!AB37, IF(PTKEY=4, 'PT Answer Tables'!AC37, IF(PTKEY=5, 'PT Answer Tables'!AD37, IF(PTKEY=6, 'PT Answer Tables'!AE37,IF(PTKEY=7, 'PT Answer Tables'!AF37,0))))))</f>
        <v>96</v>
      </c>
      <c r="D158" s="124" t="str">
        <f>IF(PTKEY=2,'PT 1 Skill Tables'!AB38,IF(PTKEY=3,'PT 2 Skill Tables'!AB38,IF(PTKEY=4,'PT 3 Skill Tables'!AB38,IF(PTKEY=5,'PT 4 Skill Tables'!AB38,IF(PTKEY=6,'PT 5 Skill Tables'!AB38,IF(PTKEY=7,'PT 6 Skill Tables'!AB38,0))))))</f>
        <v>Problem Solving and Data Analysis</v>
      </c>
      <c r="E158" s="124" t="str">
        <f>IF(PTKEY=2,'PT 1 Skill Tables'!AC38,IF(PTKEY=3,'PT 2 Skill Tables'!AC38,IF(PTKEY=4,'PT 3 Skill Tables'!AC38,IF(PTKEY=5,'PT 4 Skill Tables'!AC38,IF(PTKEY=6,'PT 5 Skill Tables'!AC38, IF(PTKEY=7,'PT 6 Skill Tables'!AC38,0))))))</f>
        <v>Data inferences</v>
      </c>
      <c r="F158" s="175" t="str">
        <f>IF(PTKEY=2,IF('PT 1 Skill Tables'!AE38=1,"History",IF('PT 1 Skill Tables'!AF38=1,"Science","")),IF(PTKEY=3,IF('PT 2 Skill Tables'!AE38=1,"History",IF('PT 2 Skill Tables'!AF38=1,"Science","")), IF(PTKEY=4,IF('PT 3 Skill Tables'!AE38=1,"History",IF('PT 3 Skill Tables'!AF38=1,"Science","")), IF(PTKEY=5,IF('PT 4 Skill Tables'!AE38=1,"History",IF('PT 4 Skill Tables'!AF38=1,"Science","")),IF(PTKEY=6,IF('PT 5 Skill Tables'!AE38=1,"History",IF('PT 5 Skill Tables'!AF38=1,"Science","")), IF(PTKEY=7,IF('PT 6 Skill Tables'!AE38=1,"History",IF('PT 6 Skill Tables'!AF38=1,"Science",""))))))))</f>
        <v/>
      </c>
      <c r="G158" s="75"/>
    </row>
    <row r="159" spans="1:7" ht="18.75" customHeight="1">
      <c r="A159" s="124">
        <v>35</v>
      </c>
      <c r="B159" s="124" t="str">
        <f>IF(Input!I44=""," ",Input!I44)</f>
        <v xml:space="preserve"> </v>
      </c>
      <c r="C159" s="124">
        <f>IF(PTKEY=2,'PT Answer Tables'!AA38,IF(PTKEY=3,'PT Answer Tables'!AB38, IF(PTKEY=4, 'PT Answer Tables'!AC38, IF(PTKEY=5, 'PT Answer Tables'!AD38, IF(PTKEY=6, 'PT Answer Tables'!AE38,IF(PTKEY=7, 'PT Answer Tables'!AF38,0))))))</f>
        <v>6</v>
      </c>
      <c r="D159" s="124" t="str">
        <f>IF(PTKEY=2,'PT 1 Skill Tables'!AB39,IF(PTKEY=3,'PT 2 Skill Tables'!AB39,IF(PTKEY=4,'PT 3 Skill Tables'!AB39,IF(PTKEY=5,'PT 4 Skill Tables'!AB39,IF(PTKEY=6,'PT 5 Skill Tables'!AB39,IF(PTKEY=7,'PT 6 Skill Tables'!AB39,0))))))</f>
        <v>Additional Topics in Math</v>
      </c>
      <c r="E159" s="124" t="str">
        <f>IF(PTKEY=2,'PT 1 Skill Tables'!AC39,IF(PTKEY=3,'PT 2 Skill Tables'!AC39,IF(PTKEY=4,'PT 3 Skill Tables'!AC39,IF(PTKEY=5,'PT 4 Skill Tables'!AC39,IF(PTKEY=6,'PT 5 Skill Tables'!AC39, IF(PTKEY=7,'PT 6 Skill Tables'!AC39,0))))))</f>
        <v>Volume word problems</v>
      </c>
      <c r="F159" s="175" t="str">
        <f>IF(PTKEY=2,IF('PT 1 Skill Tables'!AE39=1,"History",IF('PT 1 Skill Tables'!AF39=1,"Science","")),IF(PTKEY=3,IF('PT 2 Skill Tables'!AE39=1,"History",IF('PT 2 Skill Tables'!AF39=1,"Science","")), IF(PTKEY=4,IF('PT 3 Skill Tables'!AE39=1,"History",IF('PT 3 Skill Tables'!AF39=1,"Science","")), IF(PTKEY=5,IF('PT 4 Skill Tables'!AE39=1,"History",IF('PT 4 Skill Tables'!AF39=1,"Science","")),IF(PTKEY=6,IF('PT 5 Skill Tables'!AE39=1,"History",IF('PT 5 Skill Tables'!AF39=1,"Science","")), IF(PTKEY=7,IF('PT 6 Skill Tables'!AE39=1,"History",IF('PT 6 Skill Tables'!AF39=1,"Science",""))))))))</f>
        <v/>
      </c>
      <c r="G159" s="75"/>
    </row>
    <row r="160" spans="1:7" ht="18.75" customHeight="1">
      <c r="A160" s="124">
        <v>36</v>
      </c>
      <c r="B160" s="124" t="str">
        <f>IF(Input!I45=""," ",Input!I45)</f>
        <v xml:space="preserve"> </v>
      </c>
      <c r="C160" s="124">
        <f>IF(PTKEY=2,'PT Answer Tables'!AA39,IF(PTKEY=3,'PT Answer Tables'!AB39, IF(PTKEY=4, 'PT Answer Tables'!AC39, IF(PTKEY=5, 'PT Answer Tables'!AD39, IF(PTKEY=6, 'PT Answer Tables'!AE39,IF(PTKEY=7, 'PT Answer Tables'!AF39,0))))))</f>
        <v>3</v>
      </c>
      <c r="D160" s="124" t="str">
        <f>IF(PTKEY=2,'PT 1 Skill Tables'!AB40,IF(PTKEY=3,'PT 2 Skill Tables'!AB40,IF(PTKEY=4,'PT 3 Skill Tables'!AB40,IF(PTKEY=5,'PT 4 Skill Tables'!AB40,IF(PTKEY=6,'PT 5 Skill Tables'!AB40,IF(PTKEY=7,'PT 6 Skill Tables'!AB40,0))))))</f>
        <v>Passport to Advanced Mathematics</v>
      </c>
      <c r="E160" s="124" t="str">
        <f>IF(PTKEY=2,'PT 1 Skill Tables'!AC40,IF(PTKEY=3,'PT 2 Skill Tables'!AC40,IF(PTKEY=4,'PT 3 Skill Tables'!AC40,IF(PTKEY=5,'PT 4 Skill Tables'!AC40,IF(PTKEY=6,'PT 5 Skill Tables'!AC40, IF(PTKEY=7,'PT 6 Skill Tables'!AC40,0))))))</f>
        <v>Structure in expressions</v>
      </c>
      <c r="F160" s="175" t="str">
        <f>IF(PTKEY=2,IF('PT 1 Skill Tables'!AE40=1,"History",IF('PT 1 Skill Tables'!AF40=1,"Science","")),IF(PTKEY=3,IF('PT 2 Skill Tables'!AE40=1,"History",IF('PT 2 Skill Tables'!AF40=1,"Science","")), IF(PTKEY=4,IF('PT 3 Skill Tables'!AE40=1,"History",IF('PT 3 Skill Tables'!AF40=1,"Science","")), IF(PTKEY=5,IF('PT 4 Skill Tables'!AE40=1,"History",IF('PT 4 Skill Tables'!AF40=1,"Science","")),IF(PTKEY=6,IF('PT 5 Skill Tables'!AE40=1,"History",IF('PT 5 Skill Tables'!AF40=1,"Science","")), IF(PTKEY=7,IF('PT 6 Skill Tables'!AE40=1,"History",IF('PT 6 Skill Tables'!AF40=1,"Science",""))))))))</f>
        <v/>
      </c>
      <c r="G160" s="75"/>
    </row>
    <row r="161" spans="1:7" ht="18.75" customHeight="1">
      <c r="A161" s="124">
        <v>37</v>
      </c>
      <c r="B161" s="124" t="str">
        <f>IF(Input!I46=""," ",Input!I46)</f>
        <v xml:space="preserve"> </v>
      </c>
      <c r="C161" s="124">
        <f>IF(PTKEY=2,'PT Answer Tables'!AA40,IF(PTKEY=3,'PT Answer Tables'!AB40, IF(PTKEY=4, 'PT Answer Tables'!AC40, IF(PTKEY=5, 'PT Answer Tables'!AD40, IF(PTKEY=6, 'PT Answer Tables'!AE40,IF(PTKEY=7, 'PT Answer Tables'!AF40,0))))))</f>
        <v>1.02</v>
      </c>
      <c r="D161" s="124" t="str">
        <f>IF(PTKEY=2,'PT 1 Skill Tables'!AB41,IF(PTKEY=3,'PT 2 Skill Tables'!AB41,IF(PTKEY=4,'PT 3 Skill Tables'!AB41,IF(PTKEY=5,'PT 4 Skill Tables'!AB41,IF(PTKEY=6,'PT 5 Skill Tables'!AB41,IF(PTKEY=7,'PT 6 Skill Tables'!AB41,0))))))</f>
        <v>Passport to Advanced Mathematics</v>
      </c>
      <c r="E161" s="124" t="str">
        <f>IF(PTKEY=2,'PT 1 Skill Tables'!AC41,IF(PTKEY=3,'PT 2 Skill Tables'!AC41,IF(PTKEY=4,'PT 3 Skill Tables'!AC41,IF(PTKEY=5,'PT 4 Skill Tables'!AC41,IF(PTKEY=6,'PT 5 Skill Tables'!AC41, IF(PTKEY=7,'PT 6 Skill Tables'!AC41,0))))))</f>
        <v>Quadratic and exponential word problems</v>
      </c>
      <c r="F161" s="175" t="str">
        <f>IF(PTKEY=2,IF('PT 1 Skill Tables'!AE41=1,"History",IF('PT 1 Skill Tables'!AF41=1,"Science","")),IF(PTKEY=3,IF('PT 2 Skill Tables'!AE41=1,"History",IF('PT 2 Skill Tables'!AF41=1,"Science","")), IF(PTKEY=4,IF('PT 3 Skill Tables'!AE41=1,"History",IF('PT 3 Skill Tables'!AF41=1,"Science","")), IF(PTKEY=5,IF('PT 4 Skill Tables'!AE41=1,"History",IF('PT 4 Skill Tables'!AF41=1,"Science","")),IF(PTKEY=6,IF('PT 5 Skill Tables'!AE41=1,"History",IF('PT 5 Skill Tables'!AF41=1,"Science","")), IF(PTKEY=7,IF('PT 6 Skill Tables'!AE41=1,"History",IF('PT 6 Skill Tables'!AF41=1,"Science",""))))))))</f>
        <v>History</v>
      </c>
      <c r="G161" s="75"/>
    </row>
    <row r="162" spans="1:7" ht="18.75" customHeight="1">
      <c r="A162" s="124">
        <v>38</v>
      </c>
      <c r="B162" s="124" t="str">
        <f>IF(Input!I47=""," ",Input!I47)</f>
        <v xml:space="preserve"> </v>
      </c>
      <c r="C162" s="124">
        <f>IF(PTKEY=2,'PT Answer Tables'!AA41,IF(PTKEY=3,'PT Answer Tables'!AB41, IF(PTKEY=4, 'PT Answer Tables'!AC41, IF(PTKEY=5, 'PT Answer Tables'!AD41, IF(PTKEY=6, 'PT Answer Tables'!AE41,IF(PTKEY=7, 'PT Answer Tables'!AF41,0))))))</f>
        <v>6.11</v>
      </c>
      <c r="D162" s="124" t="str">
        <f>IF(PTKEY=2,'PT 1 Skill Tables'!AB42,IF(PTKEY=3,'PT 2 Skill Tables'!AB42,IF(PTKEY=4,'PT 3 Skill Tables'!AB42,IF(PTKEY=5,'PT 4 Skill Tables'!AB42,IF(PTKEY=6,'PT 5 Skill Tables'!AB42,IF(PTKEY=7,'PT 6 Skill Tables'!AB42,0))))))</f>
        <v>Passport to Advanced Mathematics</v>
      </c>
      <c r="E162" s="124" t="str">
        <f>IF(PTKEY=2,'PT 1 Skill Tables'!AC42,IF(PTKEY=3,'PT 2 Skill Tables'!AC42,IF(PTKEY=4,'PT 3 Skill Tables'!AC42,IF(PTKEY=5,'PT 4 Skill Tables'!AC42,IF(PTKEY=6,'PT 5 Skill Tables'!AC42, IF(PTKEY=7,'PT 6 Skill Tables'!AC42,0))))))</f>
        <v>Quadratic and exponential word problems</v>
      </c>
      <c r="F162" s="175" t="str">
        <f>IF(PTKEY=2,IF('PT 1 Skill Tables'!AE42=1,"History",IF('PT 1 Skill Tables'!AF42=1,"Science","")),IF(PTKEY=3,IF('PT 2 Skill Tables'!AE42=1,"History",IF('PT 2 Skill Tables'!AF42=1,"Science","")), IF(PTKEY=4,IF('PT 3 Skill Tables'!AE42=1,"History",IF('PT 3 Skill Tables'!AF42=1,"Science","")), IF(PTKEY=5,IF('PT 4 Skill Tables'!AE42=1,"History",IF('PT 4 Skill Tables'!AF42=1,"Science","")),IF(PTKEY=6,IF('PT 5 Skill Tables'!AE42=1,"History",IF('PT 5 Skill Tables'!AF42=1,"Science","")), IF(PTKEY=7,IF('PT 6 Skill Tables'!AE42=1,"History",IF('PT 6 Skill Tables'!AF42=1,"Science",""))))))))</f>
        <v>History</v>
      </c>
      <c r="G162" s="75"/>
    </row>
    <row r="163" spans="1:7" ht="18.75" customHeight="1"/>
  </sheetData>
  <sheetProtection sheet="1" objects="1" scenarios="1" selectLockedCells="1"/>
  <mergeCells count="4">
    <mergeCell ref="A123:D123"/>
    <mergeCell ref="A1:C1"/>
    <mergeCell ref="A101:E101"/>
    <mergeCell ref="A55:D55"/>
  </mergeCells>
  <conditionalFormatting sqref="B3:B54 B57:B100 B103:B117 B125:B154">
    <cfRule type="expression" dxfId="507" priority="4">
      <formula>B3&lt;&gt;C3</formula>
    </cfRule>
  </conditionalFormatting>
  <printOptions horizontalCentered="1"/>
  <pageMargins left="0.7" right="0.7" top="0.75" bottom="0.75" header="0.3" footer="0.3"/>
  <pageSetup scale="46" orientation="portrait" r:id="rId1"/>
  <headerFooter>
    <oddFooter>&amp;C&amp;F</oddFooter>
  </headerFooter>
  <rowBreaks count="2" manualBreakCount="2">
    <brk id="54" max="16383" man="1"/>
    <brk id="100" max="16383" man="1"/>
  </rowBreaks>
  <tableParts count="4">
    <tablePart r:id="rId2"/>
    <tablePart r:id="rId3"/>
    <tablePart r:id="rId4"/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C537813E-35FD-4D30-8CE9-5CD87BF6B8F1}">
            <xm:f>'Raw Score Check'!N19 = 0</xm:f>
            <x14:dxf>
              <fill>
                <patternFill>
                  <bgColor rgb="FFFF0000"/>
                </patternFill>
              </fill>
            </x14:dxf>
          </x14:cfRule>
          <xm:sqref>B118:B122</xm:sqref>
        </x14:conditionalFormatting>
        <x14:conditionalFormatting xmlns:xm="http://schemas.microsoft.com/office/excel/2006/main">
          <x14:cfRule type="expression" priority="1" id="{3BA96E56-DF2E-4885-AA6E-255A548F1ECE}">
            <xm:f>'Raw Score Check'!Q34 =0</xm:f>
            <x14:dxf>
              <fill>
                <patternFill>
                  <bgColor rgb="FFFF0000"/>
                </patternFill>
              </fill>
            </x14:dxf>
          </x14:cfRule>
          <xm:sqref>B155:B162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5:L75"/>
  <sheetViews>
    <sheetView view="pageLayout" topLeftCell="A81" zoomScale="85" zoomScaleSheetLayoutView="85" zoomScalePageLayoutView="85" workbookViewId="0">
      <selection activeCell="C71" sqref="C71"/>
    </sheetView>
  </sheetViews>
  <sheetFormatPr defaultRowHeight="15"/>
  <cols>
    <col min="2" max="2" width="37.7109375" customWidth="1"/>
    <col min="4" max="4" width="9.28515625" customWidth="1"/>
    <col min="5" max="5" width="9.85546875" customWidth="1"/>
    <col min="6" max="6" width="10.140625" customWidth="1"/>
    <col min="9" max="9" width="8" customWidth="1"/>
  </cols>
  <sheetData>
    <row r="5" spans="1:12" ht="15.75" thickBot="1"/>
    <row r="6" spans="1:12">
      <c r="A6" s="84"/>
      <c r="L6" s="62"/>
    </row>
    <row r="7" spans="1:12">
      <c r="A7" s="84"/>
      <c r="L7" s="19"/>
    </row>
    <row r="8" spans="1:12" ht="25.5" customHeight="1">
      <c r="A8" s="84"/>
      <c r="L8" s="19"/>
    </row>
    <row r="9" spans="1:12" ht="30" customHeight="1">
      <c r="A9" s="104"/>
      <c r="B9" s="314" t="s">
        <v>116</v>
      </c>
      <c r="C9" s="314"/>
      <c r="D9" s="314"/>
      <c r="E9" s="314"/>
      <c r="F9" s="314"/>
      <c r="L9" s="19"/>
    </row>
    <row r="10" spans="1:12" ht="30" customHeight="1">
      <c r="A10" s="104"/>
      <c r="B10" s="61"/>
      <c r="C10" s="61"/>
      <c r="D10" s="61"/>
      <c r="E10" s="61"/>
      <c r="F10" s="61"/>
      <c r="L10" s="19"/>
    </row>
    <row r="11" spans="1:12" s="92" customFormat="1" ht="38.25" customHeight="1">
      <c r="A11" s="88"/>
      <c r="B11" s="58" t="s">
        <v>71</v>
      </c>
      <c r="C11" s="110" t="s">
        <v>47</v>
      </c>
      <c r="D11" s="110" t="s">
        <v>124</v>
      </c>
      <c r="E11" s="110" t="s">
        <v>127</v>
      </c>
      <c r="F11" s="110" t="s">
        <v>50</v>
      </c>
      <c r="L11" s="88"/>
    </row>
    <row r="12" spans="1:12" ht="15" customHeight="1">
      <c r="A12" s="84"/>
      <c r="B12" s="56" t="s">
        <v>72</v>
      </c>
      <c r="C12" s="91">
        <f>IF(PTKEY=2, COUNTIFS(Table45[Skill], "="&amp;Table16[[#This Row],[Heart of Algebra]], Table45[Raw Score], "=1") + COUNTIFS(Table413[Skill],  "="&amp;Table16[[#This Row],[Heart of Algebra]], Table413[Raw Score], "=1"), IF(PTKEY=3, COUNTIFS(Table31231[Skill], "="&amp;Table16[[#This Row],[Heart of Algebra]], Table31231[Raw Score], "=1") + COUNTIFS(Table41332[Skill],  "="&amp;Table16[[#This Row],[Heart of Algebra]], Table41332[Raw Score], "=1"), IF(PTKEY=4, COUNTIFS(Table3123134[Skill], "="&amp;Table16[[#This Row],[Heart of Algebra]],Table3123134[Raw Score], "=1") + COUNTIFS(Table4133235[Skill],  "="&amp;Table16[[#This Row],[Heart of Algebra]],Table4133235[Raw Score], "=1"), IF(PTKEY=5, COUNTIFS(Table312313438[Skill], "="&amp;Table16[[#This Row],[Heart of Algebra]],Table312313438[Raw Score], "=1") + COUNTIFS(Table413323539[Skill],  "="&amp;Table16[[#This Row],[Heart of Algebra]],Table413323539[Raw Score], "=1"),IF(PTKEY=6, COUNTIFS(Table4554[Skill], "="&amp;Table16[[#This Row],[Heart of Algebra]],Table4554[Raw Score], "=1") + COUNTIFS(Table41352[Skill],  "="&amp;Table16[[#This Row],[Heart of Algebra]],Table41352[Raw Score], "=1"),IF(PTKEY=7, COUNTIFS(Table455458[Skill], "="&amp;Table16[[#This Row],[Heart of Algebra]],Table455458[Raw Score], "=1") + COUNTIFS(Table4135256[Skill],  "="&amp;Table16[[#This Row],[Heart of Algebra]],Table4135256[Raw Score], "=1"),0))))))</f>
        <v>0</v>
      </c>
      <c r="D12" s="91">
        <f>IF(PTKEY=2, COUNTIFS(Table45[Skill], "="&amp;Table16[[#This Row],[Heart of Algebra]], Table45[Raw Score], "=0") + COUNTIFS(Table413[Skill],  "="&amp;Table16[[#This Row],[Heart of Algebra]], Table413[Raw Score], "=0"), IF(PTKEY=3, COUNTIFS(Table31231[Skill], "="&amp;Table16[[#This Row],[Heart of Algebra]], Table31231[Raw Score], "=0") + COUNTIFS(Table41332[Skill],  "="&amp;Table16[[#This Row],[Heart of Algebra]], Table41332[Raw Score], "=0"), IF(PTKEY=4, COUNTIFS(Table3123134[Skill], "="&amp;Table16[[#This Row],[Heart of Algebra]],Table3123134[Raw Score], "=0") + COUNTIFS(Table4133235[Skill],  "="&amp;Table16[[#This Row],[Heart of Algebra]],Table4133235[Raw Score], "=0"), IF(PTKEY=5, COUNTIFS(Table312313438[Skill], "="&amp;Table16[[#This Row],[Heart of Algebra]],Table312313438[Raw Score], "=0") + COUNTIFS(Table413323539[Skill],  "="&amp;Table16[[#This Row],[Heart of Algebra]],Table413323539[Raw Score], "=0"),IF(PTKEY=6, COUNTIFS(Table4554[Skill], "="&amp;Table16[[#This Row],[Heart of Algebra]],Table4554[Raw Score], "=0") + COUNTIFS(Table41352[Skill],  "="&amp;Table16[[#This Row],[Heart of Algebra]],Table41352[Raw Score], "=0"),IF(PTKEY=7, COUNTIFS(Table455458[Skill], "="&amp;Table16[[#This Row],[Heart of Algebra]],Table455458[Raw Score], "=0") + COUNTIFS(Table4135256[Skill],  "="&amp;Table16[[#This Row],[Heart of Algebra]],Table4135256[Raw Score], "=0"),0))))))</f>
        <v>3</v>
      </c>
      <c r="E12" s="35">
        <f>Table16[[#This Row],[Correct]]+Table16[[#This Row],[Incorrect/Blank]]</f>
        <v>3</v>
      </c>
      <c r="F12" s="63">
        <f>IF(Table16[[#This Row],['# of Questions]]&lt;&gt;0,Table16[[#This Row],[Correct]]/Table16[[#This Row],['# of Questions]],0)</f>
        <v>0</v>
      </c>
      <c r="H12" s="75"/>
      <c r="L12" s="84"/>
    </row>
    <row r="13" spans="1:12" ht="15" customHeight="1">
      <c r="B13" s="56" t="s">
        <v>76</v>
      </c>
      <c r="C13" s="91">
        <f>IF(PTKEY=2, COUNTIFS(Table45[Skill], "="&amp;Table16[[#This Row],[Heart of Algebra]], Table45[Raw Score], "=1") + COUNTIFS(Table413[Skill],  "="&amp;Table16[[#This Row],[Heart of Algebra]], Table413[Raw Score], "=1"), IF(PTKEY=3, COUNTIFS(Table31231[Skill], "="&amp;Table16[[#This Row],[Heart of Algebra]], Table31231[Raw Score], "=1") + COUNTIFS(Table41332[Skill],  "="&amp;Table16[[#This Row],[Heart of Algebra]], Table41332[Raw Score], "=1"), IF(PTKEY=4, COUNTIFS(Table3123134[Skill], "="&amp;Table16[[#This Row],[Heart of Algebra]],Table3123134[Raw Score], "=1") + COUNTIFS(Table4133235[Skill],  "="&amp;Table16[[#This Row],[Heart of Algebra]],Table4133235[Raw Score], "=1"), IF(PTKEY=5, COUNTIFS(Table312313438[Skill], "="&amp;Table16[[#This Row],[Heart of Algebra]],Table312313438[Raw Score], "=1") + COUNTIFS(Table413323539[Skill],  "="&amp;Table16[[#This Row],[Heart of Algebra]],Table413323539[Raw Score], "=1"),IF(PTKEY=6, COUNTIFS(Table4554[Skill], "="&amp;Table16[[#This Row],[Heart of Algebra]],Table4554[Raw Score], "=1") + COUNTIFS(Table41352[Skill],  "="&amp;Table16[[#This Row],[Heart of Algebra]],Table41352[Raw Score], "=1"),IF(PTKEY=7, COUNTIFS(Table455458[Skill], "="&amp;Table16[[#This Row],[Heart of Algebra]],Table455458[Raw Score], "=1") + COUNTIFS(Table4135256[Skill],  "="&amp;Table16[[#This Row],[Heart of Algebra]],Table4135256[Raw Score], "=1"),0))))))</f>
        <v>0</v>
      </c>
      <c r="D13" s="91">
        <f>IF(PTKEY=2, COUNTIFS(Table45[Skill], "="&amp;Table16[[#This Row],[Heart of Algebra]], Table45[Raw Score], "=0") + COUNTIFS(Table413[Skill],  "="&amp;Table16[[#This Row],[Heart of Algebra]], Table413[Raw Score], "=0"), IF(PTKEY=3, COUNTIFS(Table31231[Skill], "="&amp;Table16[[#This Row],[Heart of Algebra]], Table31231[Raw Score], "=0") + COUNTIFS(Table41332[Skill],  "="&amp;Table16[[#This Row],[Heart of Algebra]], Table41332[Raw Score], "=0"), IF(PTKEY=4, COUNTIFS(Table3123134[Skill], "="&amp;Table16[[#This Row],[Heart of Algebra]],Table3123134[Raw Score], "=0") + COUNTIFS(Table4133235[Skill],  "="&amp;Table16[[#This Row],[Heart of Algebra]],Table4133235[Raw Score], "=0"), IF(PTKEY=5, COUNTIFS(Table312313438[Skill], "="&amp;Table16[[#This Row],[Heart of Algebra]],Table312313438[Raw Score], "=0") + COUNTIFS(Table413323539[Skill],  "="&amp;Table16[[#This Row],[Heart of Algebra]],Table413323539[Raw Score], "=0"),IF(PTKEY=6, COUNTIFS(Table4554[Skill], "="&amp;Table16[[#This Row],[Heart of Algebra]],Table4554[Raw Score], "=0") + COUNTIFS(Table41352[Skill],  "="&amp;Table16[[#This Row],[Heart of Algebra]],Table41352[Raw Score], "=0"),IF(PTKEY=7, COUNTIFS(Table455458[Skill], "="&amp;Table16[[#This Row],[Heart of Algebra]],Table455458[Raw Score], "=0") + COUNTIFS(Table4135256[Skill],  "="&amp;Table16[[#This Row],[Heart of Algebra]],Table4135256[Raw Score], "=0"),0))))))</f>
        <v>0</v>
      </c>
      <c r="E13" s="93">
        <f>Table16[[#This Row],[Correct]]+Table16[[#This Row],[Incorrect/Blank]]</f>
        <v>0</v>
      </c>
      <c r="F13" s="63">
        <f>IF(Table16[[#This Row],['# of Questions]]&lt;&gt;0,Table16[[#This Row],[Correct]]/Table16[[#This Row],['# of Questions]],0)</f>
        <v>0</v>
      </c>
      <c r="L13" s="84"/>
    </row>
    <row r="14" spans="1:12" ht="15" customHeight="1">
      <c r="B14" s="56" t="s">
        <v>74</v>
      </c>
      <c r="C14" s="91">
        <f>IF(PTKEY=2, COUNTIFS(Table45[Skill], "="&amp;Table16[[#This Row],[Heart of Algebra]], Table45[Raw Score], "=1") + COUNTIFS(Table413[Skill],  "="&amp;Table16[[#This Row],[Heart of Algebra]], Table413[Raw Score], "=1"), IF(PTKEY=3, COUNTIFS(Table31231[Skill], "="&amp;Table16[[#This Row],[Heart of Algebra]], Table31231[Raw Score], "=1") + COUNTIFS(Table41332[Skill],  "="&amp;Table16[[#This Row],[Heart of Algebra]], Table41332[Raw Score], "=1"), IF(PTKEY=4, COUNTIFS(Table3123134[Skill], "="&amp;Table16[[#This Row],[Heart of Algebra]],Table3123134[Raw Score], "=1") + COUNTIFS(Table4133235[Skill],  "="&amp;Table16[[#This Row],[Heart of Algebra]],Table4133235[Raw Score], "=1"), IF(PTKEY=5, COUNTIFS(Table312313438[Skill], "="&amp;Table16[[#This Row],[Heart of Algebra]],Table312313438[Raw Score], "=1") + COUNTIFS(Table413323539[Skill],  "="&amp;Table16[[#This Row],[Heart of Algebra]],Table413323539[Raw Score], "=1"),IF(PTKEY=6, COUNTIFS(Table4554[Skill], "="&amp;Table16[[#This Row],[Heart of Algebra]],Table4554[Raw Score], "=1") + COUNTIFS(Table41352[Skill],  "="&amp;Table16[[#This Row],[Heart of Algebra]],Table41352[Raw Score], "=1"),IF(PTKEY=7, COUNTIFS(Table455458[Skill], "="&amp;Table16[[#This Row],[Heart of Algebra]],Table455458[Raw Score], "=1") + COUNTIFS(Table4135256[Skill],  "="&amp;Table16[[#This Row],[Heart of Algebra]],Table4135256[Raw Score], "=1"),0))))))</f>
        <v>0</v>
      </c>
      <c r="D14" s="91">
        <f>IF(PTKEY=2, COUNTIFS(Table45[Skill], "="&amp;Table16[[#This Row],[Heart of Algebra]], Table45[Raw Score], "=0") + COUNTIFS(Table413[Skill],  "="&amp;Table16[[#This Row],[Heart of Algebra]], Table413[Raw Score], "=0"), IF(PTKEY=3, COUNTIFS(Table31231[Skill], "="&amp;Table16[[#This Row],[Heart of Algebra]], Table31231[Raw Score], "=0") + COUNTIFS(Table41332[Skill],  "="&amp;Table16[[#This Row],[Heart of Algebra]], Table41332[Raw Score], "=0"), IF(PTKEY=4, COUNTIFS(Table3123134[Skill], "="&amp;Table16[[#This Row],[Heart of Algebra]],Table3123134[Raw Score], "=0") + COUNTIFS(Table4133235[Skill],  "="&amp;Table16[[#This Row],[Heart of Algebra]],Table4133235[Raw Score], "=0"), IF(PTKEY=5, COUNTIFS(Table312313438[Skill], "="&amp;Table16[[#This Row],[Heart of Algebra]],Table312313438[Raw Score], "=0") + COUNTIFS(Table413323539[Skill],  "="&amp;Table16[[#This Row],[Heart of Algebra]],Table413323539[Raw Score], "=0"),IF(PTKEY=6, COUNTIFS(Table4554[Skill], "="&amp;Table16[[#This Row],[Heart of Algebra]],Table4554[Raw Score], "=0") + COUNTIFS(Table41352[Skill],  "="&amp;Table16[[#This Row],[Heart of Algebra]],Table41352[Raw Score], "=0"),IF(PTKEY=7, COUNTIFS(Table455458[Skill], "="&amp;Table16[[#This Row],[Heart of Algebra]],Table455458[Raw Score], "=0") + COUNTIFS(Table4135256[Skill],  "="&amp;Table16[[#This Row],[Heart of Algebra]],Table4135256[Raw Score], "=0"),0))))))</f>
        <v>3</v>
      </c>
      <c r="E14" s="93">
        <f>Table16[[#This Row],[Correct]]+Table16[[#This Row],[Incorrect/Blank]]</f>
        <v>3</v>
      </c>
      <c r="F14" s="63">
        <f>IF(Table16[[#This Row],['# of Questions]]&lt;&gt;0,Table16[[#This Row],[Correct]]/Table16[[#This Row],['# of Questions]],0)</f>
        <v>0</v>
      </c>
    </row>
    <row r="15" spans="1:12" ht="15" customHeight="1">
      <c r="B15" s="198" t="s">
        <v>79</v>
      </c>
      <c r="C15" s="91">
        <f>IF(PTKEY=2, COUNTIFS(Table45[Skill], "="&amp;Table16[[#This Row],[Heart of Algebra]], Table45[Raw Score], "=1") + COUNTIFS(Table413[Skill],  "="&amp;Table16[[#This Row],[Heart of Algebra]], Table413[Raw Score], "=1"), IF(PTKEY=3, COUNTIFS(Table31231[Skill], "="&amp;Table16[[#This Row],[Heart of Algebra]], Table31231[Raw Score], "=1") + COUNTIFS(Table41332[Skill],  "="&amp;Table16[[#This Row],[Heart of Algebra]], Table41332[Raw Score], "=1"), IF(PTKEY=4, COUNTIFS(Table3123134[Skill], "="&amp;Table16[[#This Row],[Heart of Algebra]],Table3123134[Raw Score], "=1") + COUNTIFS(Table4133235[Skill],  "="&amp;Table16[[#This Row],[Heart of Algebra]],Table4133235[Raw Score], "=1"), IF(PTKEY=5, COUNTIFS(Table312313438[Skill], "="&amp;Table16[[#This Row],[Heart of Algebra]],Table312313438[Raw Score], "=1") + COUNTIFS(Table413323539[Skill],  "="&amp;Table16[[#This Row],[Heart of Algebra]],Table413323539[Raw Score], "=1"),IF(PTKEY=6, COUNTIFS(Table4554[Skill], "="&amp;Table16[[#This Row],[Heart of Algebra]],Table4554[Raw Score], "=1") + COUNTIFS(Table41352[Skill],  "="&amp;Table16[[#This Row],[Heart of Algebra]],Table41352[Raw Score], "=1"),IF(PTKEY=7, COUNTIFS(Table455458[Skill], "="&amp;Table16[[#This Row],[Heart of Algebra]],Table455458[Raw Score], "=1") + COUNTIFS(Table4135256[Skill],  "="&amp;Table16[[#This Row],[Heart of Algebra]],Table4135256[Raw Score], "=1"),0))))))</f>
        <v>0</v>
      </c>
      <c r="D15" s="91">
        <f>IF(PTKEY=2, COUNTIFS(Table45[Skill], "="&amp;Table16[[#This Row],[Heart of Algebra]], Table45[Raw Score], "=0") + COUNTIFS(Table413[Skill],  "="&amp;Table16[[#This Row],[Heart of Algebra]], Table413[Raw Score], "=0"), IF(PTKEY=3, COUNTIFS(Table31231[Skill], "="&amp;Table16[[#This Row],[Heart of Algebra]], Table31231[Raw Score], "=0") + COUNTIFS(Table41332[Skill],  "="&amp;Table16[[#This Row],[Heart of Algebra]], Table41332[Raw Score], "=0"), IF(PTKEY=4, COUNTIFS(Table3123134[Skill], "="&amp;Table16[[#This Row],[Heart of Algebra]],Table3123134[Raw Score], "=0") + COUNTIFS(Table4133235[Skill],  "="&amp;Table16[[#This Row],[Heart of Algebra]],Table4133235[Raw Score], "=0"), IF(PTKEY=5, COUNTIFS(Table312313438[Skill], "="&amp;Table16[[#This Row],[Heart of Algebra]],Table312313438[Raw Score], "=0") + COUNTIFS(Table413323539[Skill],  "="&amp;Table16[[#This Row],[Heart of Algebra]],Table413323539[Raw Score], "=0"),IF(PTKEY=6, COUNTIFS(Table4554[Skill], "="&amp;Table16[[#This Row],[Heart of Algebra]],Table4554[Raw Score], "=0") + COUNTIFS(Table41352[Skill],  "="&amp;Table16[[#This Row],[Heart of Algebra]],Table41352[Raw Score], "=0"),IF(PTKEY=7, COUNTIFS(Table455458[Skill], "="&amp;Table16[[#This Row],[Heart of Algebra]],Table455458[Raw Score], "=0") + COUNTIFS(Table4135256[Skill],  "="&amp;Table16[[#This Row],[Heart of Algebra]],Table4135256[Raw Score], "=0"),0))))))</f>
        <v>2</v>
      </c>
      <c r="E15" s="93">
        <f>Table16[[#This Row],[Correct]]+Table16[[#This Row],[Incorrect/Blank]]</f>
        <v>2</v>
      </c>
      <c r="F15" s="63">
        <f>IF(Table16[[#This Row],['# of Questions]]&lt;&gt;0,Table16[[#This Row],[Correct]]/Table16[[#This Row],['# of Questions]],0)</f>
        <v>0</v>
      </c>
    </row>
    <row r="16" spans="1:12" ht="15" customHeight="1">
      <c r="B16" s="198" t="s">
        <v>80</v>
      </c>
      <c r="C16" s="91">
        <f>IF(PTKEY=2, COUNTIFS(Table45[Skill], "="&amp;Table16[[#This Row],[Heart of Algebra]], Table45[Raw Score], "=1") + COUNTIFS(Table413[Skill],  "="&amp;Table16[[#This Row],[Heart of Algebra]], Table413[Raw Score], "=1"), IF(PTKEY=3, COUNTIFS(Table31231[Skill], "="&amp;Table16[[#This Row],[Heart of Algebra]], Table31231[Raw Score], "=1") + COUNTIFS(Table41332[Skill],  "="&amp;Table16[[#This Row],[Heart of Algebra]], Table41332[Raw Score], "=1"), IF(PTKEY=4, COUNTIFS(Table3123134[Skill], "="&amp;Table16[[#This Row],[Heart of Algebra]],Table3123134[Raw Score], "=1") + COUNTIFS(Table4133235[Skill],  "="&amp;Table16[[#This Row],[Heart of Algebra]],Table4133235[Raw Score], "=1"), IF(PTKEY=5, COUNTIFS(Table312313438[Skill], "="&amp;Table16[[#This Row],[Heart of Algebra]],Table312313438[Raw Score], "=1") + COUNTIFS(Table413323539[Skill],  "="&amp;Table16[[#This Row],[Heart of Algebra]],Table413323539[Raw Score], "=1"),IF(PTKEY=6, COUNTIFS(Table4554[Skill], "="&amp;Table16[[#This Row],[Heart of Algebra]],Table4554[Raw Score], "=1") + COUNTIFS(Table41352[Skill],  "="&amp;Table16[[#This Row],[Heart of Algebra]],Table41352[Raw Score], "=1"),IF(PTKEY=7, COUNTIFS(Table455458[Skill], "="&amp;Table16[[#This Row],[Heart of Algebra]],Table455458[Raw Score], "=1") + COUNTIFS(Table4135256[Skill],  "="&amp;Table16[[#This Row],[Heart of Algebra]],Table4135256[Raw Score], "=1"),0))))))</f>
        <v>0</v>
      </c>
      <c r="D16" s="91">
        <f>IF(PTKEY=2, COUNTIFS(Table45[Skill], "="&amp;Table16[[#This Row],[Heart of Algebra]], Table45[Raw Score], "=0") + COUNTIFS(Table413[Skill],  "="&amp;Table16[[#This Row],[Heart of Algebra]], Table413[Raw Score], "=0"), IF(PTKEY=3, COUNTIFS(Table31231[Skill], "="&amp;Table16[[#This Row],[Heart of Algebra]], Table31231[Raw Score], "=0") + COUNTIFS(Table41332[Skill],  "="&amp;Table16[[#This Row],[Heart of Algebra]], Table41332[Raw Score], "=0"), IF(PTKEY=4, COUNTIFS(Table3123134[Skill], "="&amp;Table16[[#This Row],[Heart of Algebra]],Table3123134[Raw Score], "=0") + COUNTIFS(Table4133235[Skill],  "="&amp;Table16[[#This Row],[Heart of Algebra]],Table4133235[Raw Score], "=0"), IF(PTKEY=5, COUNTIFS(Table312313438[Skill], "="&amp;Table16[[#This Row],[Heart of Algebra]],Table312313438[Raw Score], "=0") + COUNTIFS(Table413323539[Skill],  "="&amp;Table16[[#This Row],[Heart of Algebra]],Table413323539[Raw Score], "=0"),IF(PTKEY=6, COUNTIFS(Table4554[Skill], "="&amp;Table16[[#This Row],[Heart of Algebra]],Table4554[Raw Score], "=0") + COUNTIFS(Table41352[Skill],  "="&amp;Table16[[#This Row],[Heart of Algebra]],Table41352[Raw Score], "=0"),IF(PTKEY=7, COUNTIFS(Table455458[Skill], "="&amp;Table16[[#This Row],[Heart of Algebra]],Table455458[Raw Score], "=0") + COUNTIFS(Table4135256[Skill],  "="&amp;Table16[[#This Row],[Heart of Algebra]],Table4135256[Raw Score], "=0"),0))))))</f>
        <v>2</v>
      </c>
      <c r="E16" s="93">
        <f>Table16[[#This Row],[Correct]]+Table16[[#This Row],[Incorrect/Blank]]</f>
        <v>2</v>
      </c>
      <c r="F16" s="63">
        <f>IF(Table16[[#This Row],['# of Questions]]&lt;&gt;0,Table16[[#This Row],[Correct]]/Table16[[#This Row],['# of Questions]],0)</f>
        <v>0</v>
      </c>
    </row>
    <row r="17" spans="2:6" ht="15" customHeight="1">
      <c r="B17" s="60" t="s">
        <v>73</v>
      </c>
      <c r="C17" s="91">
        <f>IF(PTKEY=2, COUNTIFS(Table45[Skill], "="&amp;Table16[[#This Row],[Heart of Algebra]], Table45[Raw Score], "=1") + COUNTIFS(Table413[Skill],  "="&amp;Table16[[#This Row],[Heart of Algebra]], Table413[Raw Score], "=1"), IF(PTKEY=3, COUNTIFS(Table31231[Skill], "="&amp;Table16[[#This Row],[Heart of Algebra]], Table31231[Raw Score], "=1") + COUNTIFS(Table41332[Skill],  "="&amp;Table16[[#This Row],[Heart of Algebra]], Table41332[Raw Score], "=1"), IF(PTKEY=4, COUNTIFS(Table3123134[Skill], "="&amp;Table16[[#This Row],[Heart of Algebra]],Table3123134[Raw Score], "=1") + COUNTIFS(Table4133235[Skill],  "="&amp;Table16[[#This Row],[Heart of Algebra]],Table4133235[Raw Score], "=1"), IF(PTKEY=5, COUNTIFS(Table312313438[Skill], "="&amp;Table16[[#This Row],[Heart of Algebra]],Table312313438[Raw Score], "=1") + COUNTIFS(Table413323539[Skill],  "="&amp;Table16[[#This Row],[Heart of Algebra]],Table413323539[Raw Score], "=1"),IF(PTKEY=6, COUNTIFS(Table4554[Skill], "="&amp;Table16[[#This Row],[Heart of Algebra]],Table4554[Raw Score], "=1") + COUNTIFS(Table41352[Skill],  "="&amp;Table16[[#This Row],[Heart of Algebra]],Table41352[Raw Score], "=1"),IF(PTKEY=7, COUNTIFS(Table455458[Skill], "="&amp;Table16[[#This Row],[Heart of Algebra]],Table455458[Raw Score], "=1") + COUNTIFS(Table4135256[Skill],  "="&amp;Table16[[#This Row],[Heart of Algebra]],Table4135256[Raw Score], "=1"),0))))))</f>
        <v>0</v>
      </c>
      <c r="D17" s="91">
        <f>IF(PTKEY=2, COUNTIFS(Table45[Skill], "="&amp;Table16[[#This Row],[Heart of Algebra]], Table45[Raw Score], "=0") + COUNTIFS(Table413[Skill],  "="&amp;Table16[[#This Row],[Heart of Algebra]], Table413[Raw Score], "=0"), IF(PTKEY=3, COUNTIFS(Table31231[Skill], "="&amp;Table16[[#This Row],[Heart of Algebra]], Table31231[Raw Score], "=0") + COUNTIFS(Table41332[Skill],  "="&amp;Table16[[#This Row],[Heart of Algebra]], Table41332[Raw Score], "=0"), IF(PTKEY=4, COUNTIFS(Table3123134[Skill], "="&amp;Table16[[#This Row],[Heart of Algebra]],Table3123134[Raw Score], "=0") + COUNTIFS(Table4133235[Skill],  "="&amp;Table16[[#This Row],[Heart of Algebra]],Table4133235[Raw Score], "=0"), IF(PTKEY=5, COUNTIFS(Table312313438[Skill], "="&amp;Table16[[#This Row],[Heart of Algebra]],Table312313438[Raw Score], "=0") + COUNTIFS(Table413323539[Skill],  "="&amp;Table16[[#This Row],[Heart of Algebra]],Table413323539[Raw Score], "=0"),IF(PTKEY=6, COUNTIFS(Table4554[Skill], "="&amp;Table16[[#This Row],[Heart of Algebra]],Table4554[Raw Score], "=0") + COUNTIFS(Table41352[Skill],  "="&amp;Table16[[#This Row],[Heart of Algebra]],Table41352[Raw Score], "=0"),IF(PTKEY=7, COUNTIFS(Table455458[Skill], "="&amp;Table16[[#This Row],[Heart of Algebra]],Table455458[Raw Score], "=0") + COUNTIFS(Table4135256[Skill],  "="&amp;Table16[[#This Row],[Heart of Algebra]],Table4135256[Raw Score], "=0"),0))))))</f>
        <v>3</v>
      </c>
      <c r="E17" s="93">
        <f>Table16[[#This Row],[Correct]]+Table16[[#This Row],[Incorrect/Blank]]</f>
        <v>3</v>
      </c>
      <c r="F17" s="63">
        <f>IF(Table16[[#This Row],['# of Questions]]&lt;&gt;0,Table16[[#This Row],[Correct]]/Table16[[#This Row],['# of Questions]],0)</f>
        <v>0</v>
      </c>
    </row>
    <row r="18" spans="2:6" ht="15" customHeight="1">
      <c r="B18" s="60" t="s">
        <v>77</v>
      </c>
      <c r="C18" s="91">
        <f>IF(PTKEY=2, COUNTIFS(Table45[Skill], "="&amp;Table16[[#This Row],[Heart of Algebra]], Table45[Raw Score], "=1") + COUNTIFS(Table413[Skill],  "="&amp;Table16[[#This Row],[Heart of Algebra]], Table413[Raw Score], "=1"), IF(PTKEY=3, COUNTIFS(Table31231[Skill], "="&amp;Table16[[#This Row],[Heart of Algebra]], Table31231[Raw Score], "=1") + COUNTIFS(Table41332[Skill],  "="&amp;Table16[[#This Row],[Heart of Algebra]], Table41332[Raw Score], "=1"), IF(PTKEY=4, COUNTIFS(Table3123134[Skill], "="&amp;Table16[[#This Row],[Heart of Algebra]],Table3123134[Raw Score], "=1") + COUNTIFS(Table4133235[Skill],  "="&amp;Table16[[#This Row],[Heart of Algebra]],Table4133235[Raw Score], "=1"), IF(PTKEY=5, COUNTIFS(Table312313438[Skill], "="&amp;Table16[[#This Row],[Heart of Algebra]],Table312313438[Raw Score], "=1") + COUNTIFS(Table413323539[Skill],  "="&amp;Table16[[#This Row],[Heart of Algebra]],Table413323539[Raw Score], "=1"),IF(PTKEY=6, COUNTIFS(Table4554[Skill], "="&amp;Table16[[#This Row],[Heart of Algebra]],Table4554[Raw Score], "=1") + COUNTIFS(Table41352[Skill],  "="&amp;Table16[[#This Row],[Heart of Algebra]],Table41352[Raw Score], "=1"),IF(PTKEY=7, COUNTIFS(Table455458[Skill], "="&amp;Table16[[#This Row],[Heart of Algebra]],Table455458[Raw Score], "=1") + COUNTIFS(Table4135256[Skill],  "="&amp;Table16[[#This Row],[Heart of Algebra]],Table4135256[Raw Score], "=1"),0))))))</f>
        <v>0</v>
      </c>
      <c r="D18" s="91">
        <f>IF(PTKEY=2, COUNTIFS(Table45[Skill], "="&amp;Table16[[#This Row],[Heart of Algebra]], Table45[Raw Score], "=0") + COUNTIFS(Table413[Skill],  "="&amp;Table16[[#This Row],[Heart of Algebra]], Table413[Raw Score], "=0"), IF(PTKEY=3, COUNTIFS(Table31231[Skill], "="&amp;Table16[[#This Row],[Heart of Algebra]], Table31231[Raw Score], "=0") + COUNTIFS(Table41332[Skill],  "="&amp;Table16[[#This Row],[Heart of Algebra]], Table41332[Raw Score], "=0"), IF(PTKEY=4, COUNTIFS(Table3123134[Skill], "="&amp;Table16[[#This Row],[Heart of Algebra]],Table3123134[Raw Score], "=0") + COUNTIFS(Table4133235[Skill],  "="&amp;Table16[[#This Row],[Heart of Algebra]],Table4133235[Raw Score], "=0"), IF(PTKEY=5, COUNTIFS(Table312313438[Skill], "="&amp;Table16[[#This Row],[Heart of Algebra]],Table312313438[Raw Score], "=0") + COUNTIFS(Table413323539[Skill],  "="&amp;Table16[[#This Row],[Heart of Algebra]],Table413323539[Raw Score], "=0"),IF(PTKEY=6, COUNTIFS(Table4554[Skill], "="&amp;Table16[[#This Row],[Heart of Algebra]],Table4554[Raw Score], "=0") + COUNTIFS(Table41352[Skill],  "="&amp;Table16[[#This Row],[Heart of Algebra]],Table41352[Raw Score], "=0"),IF(PTKEY=7, COUNTIFS(Table455458[Skill], "="&amp;Table16[[#This Row],[Heart of Algebra]],Table455458[Raw Score], "=0") + COUNTIFS(Table4135256[Skill],  "="&amp;Table16[[#This Row],[Heart of Algebra]],Table4135256[Raw Score], "=0"),0))))))</f>
        <v>1</v>
      </c>
      <c r="E18" s="93">
        <f>Table16[[#This Row],[Correct]]+Table16[[#This Row],[Incorrect/Blank]]</f>
        <v>1</v>
      </c>
      <c r="F18" s="63">
        <f>IF(Table16[[#This Row],['# of Questions]]&lt;&gt;0,Table16[[#This Row],[Correct]]/Table16[[#This Row],['# of Questions]],0)</f>
        <v>0</v>
      </c>
    </row>
    <row r="19" spans="2:6" ht="15" customHeight="1">
      <c r="B19" s="199" t="s">
        <v>75</v>
      </c>
      <c r="C19" s="91">
        <f>IF(PTKEY=2, COUNTIFS(Table45[Skill], "="&amp;Table16[[#This Row],[Heart of Algebra]], Table45[Raw Score], "=1") + COUNTIFS(Table413[Skill],  "="&amp;Table16[[#This Row],[Heart of Algebra]], Table413[Raw Score], "=1"), IF(PTKEY=3, COUNTIFS(Table31231[Skill], "="&amp;Table16[[#This Row],[Heart of Algebra]], Table31231[Raw Score], "=1") + COUNTIFS(Table41332[Skill],  "="&amp;Table16[[#This Row],[Heart of Algebra]], Table41332[Raw Score], "=1"), IF(PTKEY=4, COUNTIFS(Table3123134[Skill], "="&amp;Table16[[#This Row],[Heart of Algebra]],Table3123134[Raw Score], "=1") + COUNTIFS(Table4133235[Skill],  "="&amp;Table16[[#This Row],[Heart of Algebra]],Table4133235[Raw Score], "=1"), IF(PTKEY=5, COUNTIFS(Table312313438[Skill], "="&amp;Table16[[#This Row],[Heart of Algebra]],Table312313438[Raw Score], "=1") + COUNTIFS(Table413323539[Skill],  "="&amp;Table16[[#This Row],[Heart of Algebra]],Table413323539[Raw Score], "=1"),IF(PTKEY=6, COUNTIFS(Table4554[Skill], "="&amp;Table16[[#This Row],[Heart of Algebra]],Table4554[Raw Score], "=1") + COUNTIFS(Table41352[Skill],  "="&amp;Table16[[#This Row],[Heart of Algebra]],Table41352[Raw Score], "=1"),IF(PTKEY=7, COUNTIFS(Table455458[Skill], "="&amp;Table16[[#This Row],[Heart of Algebra]],Table455458[Raw Score], "=1") + COUNTIFS(Table4135256[Skill],  "="&amp;Table16[[#This Row],[Heart of Algebra]],Table4135256[Raw Score], "=1"),0))))))</f>
        <v>0</v>
      </c>
      <c r="D19" s="91">
        <f>IF(PTKEY=2, COUNTIFS(Table45[Skill], "="&amp;Table16[[#This Row],[Heart of Algebra]], Table45[Raw Score], "=0") + COUNTIFS(Table413[Skill],  "="&amp;Table16[[#This Row],[Heart of Algebra]], Table413[Raw Score], "=0"), IF(PTKEY=3, COUNTIFS(Table31231[Skill], "="&amp;Table16[[#This Row],[Heart of Algebra]], Table31231[Raw Score], "=0") + COUNTIFS(Table41332[Skill],  "="&amp;Table16[[#This Row],[Heart of Algebra]], Table41332[Raw Score], "=0"), IF(PTKEY=4, COUNTIFS(Table3123134[Skill], "="&amp;Table16[[#This Row],[Heart of Algebra]],Table3123134[Raw Score], "=0") + COUNTIFS(Table4133235[Skill],  "="&amp;Table16[[#This Row],[Heart of Algebra]],Table4133235[Raw Score], "=0"), IF(PTKEY=5, COUNTIFS(Table312313438[Skill], "="&amp;Table16[[#This Row],[Heart of Algebra]],Table312313438[Raw Score], "=0") + COUNTIFS(Table413323539[Skill],  "="&amp;Table16[[#This Row],[Heart of Algebra]],Table413323539[Raw Score], "=0"),IF(PTKEY=6, COUNTIFS(Table4554[Skill], "="&amp;Table16[[#This Row],[Heart of Algebra]],Table4554[Raw Score], "=0") + COUNTIFS(Table41352[Skill],  "="&amp;Table16[[#This Row],[Heart of Algebra]],Table41352[Raw Score], "=0"),IF(PTKEY=7, COUNTIFS(Table455458[Skill], "="&amp;Table16[[#This Row],[Heart of Algebra]],Table455458[Raw Score], "=0") + COUNTIFS(Table4135256[Skill],  "="&amp;Table16[[#This Row],[Heart of Algebra]],Table4135256[Raw Score], "=0"),0))))))</f>
        <v>1</v>
      </c>
      <c r="E19" s="93">
        <f>Table16[[#This Row],[Correct]]+Table16[[#This Row],[Incorrect/Blank]]</f>
        <v>1</v>
      </c>
      <c r="F19" s="63">
        <f>IF(Table16[[#This Row],['# of Questions]]&lt;&gt;0,Table16[[#This Row],[Correct]]/Table16[[#This Row],['# of Questions]],0)</f>
        <v>0</v>
      </c>
    </row>
    <row r="20" spans="2:6" ht="15" customHeight="1" thickBot="1">
      <c r="B20" s="107" t="s">
        <v>78</v>
      </c>
      <c r="C20" s="97">
        <f>IF(PTKEY=2, COUNTIFS(Table45[Skill], "="&amp;Table16[[#This Row],[Heart of Algebra]], Table45[Raw Score], "=1") + COUNTIFS(Table413[Skill],  "="&amp;Table16[[#This Row],[Heart of Algebra]], Table413[Raw Score], "=1"), IF(PTKEY=3, COUNTIFS(Table31231[Skill], "="&amp;Table16[[#This Row],[Heart of Algebra]], Table31231[Raw Score], "=1") + COUNTIFS(Table41332[Skill],  "="&amp;Table16[[#This Row],[Heart of Algebra]], Table41332[Raw Score], "=1"), IF(PTKEY=4, COUNTIFS(Table3123134[Skill], "="&amp;Table16[[#This Row],[Heart of Algebra]],Table3123134[Raw Score], "=1") + COUNTIFS(Table4133235[Skill],  "="&amp;Table16[[#This Row],[Heart of Algebra]],Table4133235[Raw Score], "=1"), IF(PTKEY=5, COUNTIFS(Table312313438[Skill], "="&amp;Table16[[#This Row],[Heart of Algebra]],Table312313438[Raw Score], "=1") + COUNTIFS(Table413323539[Skill],  "="&amp;Table16[[#This Row],[Heart of Algebra]],Table413323539[Raw Score], "=1"),IF(PTKEY=6, COUNTIFS(Table4554[Skill], "="&amp;Table16[[#This Row],[Heart of Algebra]],Table4554[Raw Score], "=1") + COUNTIFS(Table41352[Skill],  "="&amp;Table16[[#This Row],[Heart of Algebra]],Table41352[Raw Score], "=1"),IF(PTKEY=7, COUNTIFS(Table455458[Skill], "="&amp;Table16[[#This Row],[Heart of Algebra]],Table455458[Raw Score], "=1") + COUNTIFS(Table4135256[Skill],  "="&amp;Table16[[#This Row],[Heart of Algebra]],Table4135256[Raw Score], "=1"),0))))))</f>
        <v>0</v>
      </c>
      <c r="D20" s="97">
        <f>IF(PTKEY=2, COUNTIFS(Table45[Skill], "="&amp;Table16[[#This Row],[Heart of Algebra]], Table45[Raw Score], "=0") + COUNTIFS(Table413[Skill],  "="&amp;Table16[[#This Row],[Heart of Algebra]], Table413[Raw Score], "=0"), IF(PTKEY=3, COUNTIFS(Table31231[Skill], "="&amp;Table16[[#This Row],[Heart of Algebra]], Table31231[Raw Score], "=0") + COUNTIFS(Table41332[Skill],  "="&amp;Table16[[#This Row],[Heart of Algebra]], Table41332[Raw Score], "=0"), IF(PTKEY=4, COUNTIFS(Table3123134[Skill], "="&amp;Table16[[#This Row],[Heart of Algebra]],Table3123134[Raw Score], "=0") + COUNTIFS(Table4133235[Skill],  "="&amp;Table16[[#This Row],[Heart of Algebra]],Table4133235[Raw Score], "=0"), IF(PTKEY=5, COUNTIFS(Table312313438[Skill], "="&amp;Table16[[#This Row],[Heart of Algebra]],Table312313438[Raw Score], "=0") + COUNTIFS(Table413323539[Skill],  "="&amp;Table16[[#This Row],[Heart of Algebra]],Table413323539[Raw Score], "=0"),IF(PTKEY=6, COUNTIFS(Table4554[Skill], "="&amp;Table16[[#This Row],[Heart of Algebra]],Table4554[Raw Score], "=0") + COUNTIFS(Table41352[Skill],  "="&amp;Table16[[#This Row],[Heart of Algebra]],Table41352[Raw Score], "=0"),IF(PTKEY=7, COUNTIFS(Table455458[Skill], "="&amp;Table16[[#This Row],[Heart of Algebra]],Table455458[Raw Score], "=0") + COUNTIFS(Table4135256[Skill],  "="&amp;Table16[[#This Row],[Heart of Algebra]],Table4135256[Raw Score], "=0"),0))))))</f>
        <v>4</v>
      </c>
      <c r="E20" s="97">
        <f>Table16[[#This Row],[Correct]]+Table16[[#This Row],[Incorrect/Blank]]</f>
        <v>4</v>
      </c>
      <c r="F20" s="98">
        <f>IF(Table16[[#This Row],['# of Questions]]&lt;&gt;0,Table16[[#This Row],[Correct]]/Table16[[#This Row],['# of Questions]],0)</f>
        <v>0</v>
      </c>
    </row>
    <row r="21" spans="2:6">
      <c r="B21" s="64" t="s">
        <v>51</v>
      </c>
      <c r="C21" s="65">
        <f>SUM(C12:C20)</f>
        <v>0</v>
      </c>
      <c r="D21" s="65">
        <f>SUM(D12:D20)</f>
        <v>19</v>
      </c>
      <c r="E21" s="65">
        <f>SUM(E12:E20)</f>
        <v>19</v>
      </c>
      <c r="F21" s="66">
        <f>IF(Table16[[#This Row],['# of Questions]]&lt;&gt;0,Table16[[#This Row],[Correct]]/Table16[[#This Row],['# of Questions]],0)</f>
        <v>0</v>
      </c>
    </row>
    <row r="22" spans="2:6" ht="44.25" customHeight="1">
      <c r="B22" s="67"/>
      <c r="C22" s="67"/>
      <c r="D22" s="67"/>
      <c r="E22" s="67"/>
      <c r="F22" s="67"/>
    </row>
    <row r="23" spans="2:6" s="92" customFormat="1" ht="45">
      <c r="B23" s="58" t="s">
        <v>81</v>
      </c>
      <c r="C23" s="110" t="s">
        <v>47</v>
      </c>
      <c r="D23" s="110" t="s">
        <v>124</v>
      </c>
      <c r="E23" s="110" t="s">
        <v>127</v>
      </c>
      <c r="F23" s="110" t="s">
        <v>50</v>
      </c>
    </row>
    <row r="24" spans="2:6">
      <c r="B24" s="56" t="s">
        <v>82</v>
      </c>
      <c r="C24" s="91">
        <f>IF(PTKEY=2, COUNTIFS(Table45[Skill], "="&amp;Table17[[#This Row],[Passport to Advanced Mathematics]], Table45[Raw Score], "=1") + COUNTIFS(Table413[Skill],  "="&amp;Table17[[#This Row],[Passport to Advanced Mathematics]], Table413[Raw Score], "=1"), IF(PTKEY=3, COUNTIFS(Table31231[Skill], "="&amp;Table17[[#This Row],[Passport to Advanced Mathematics]], Table31231[Raw Score], "=1") + COUNTIFS(Table41332[Skill],  "="&amp;Table17[[#This Row],[Passport to Advanced Mathematics]], Table41332[Raw Score], "=1"), IF(PTKEY=4, COUNTIFS(Table3123134[Skill], "="&amp;Table17[[#This Row],[Passport to Advanced Mathematics]],Table3123134[Raw Score], "=1") + COUNTIFS(Table4133235[Skill],  "="&amp;Table17[[#This Row],[Passport to Advanced Mathematics]],Table4133235[Raw Score], "=1"), IF(PTKEY=5, COUNTIFS(Table312313438[Skill], "="&amp;Table17[[#This Row],[Passport to Advanced Mathematics]],Table312313438[Raw Score], "=1") + COUNTIFS(Table413323539[Skill],  "="&amp;Table17[[#This Row],[Passport to Advanced Mathematics]],Table413323539[Raw Score], "=1"), IF(PTKEY=6, COUNTIFS(Table4554[Skill], "="&amp;Table17[[#This Row],[Passport to Advanced Mathematics]],Table4554[Raw Score], "=1") + COUNTIFS(Table41352[Skill],  "="&amp;Table17[[#This Row],[Passport to Advanced Mathematics]],Table41352[Raw Score], "=1"),IF(PTKEY=7, COUNTIFS(Table455458[Skill], "="&amp;Table17[[#This Row],[Passport to Advanced Mathematics]],Table455458[Raw Score], "=1") + COUNTIFS(Table4135256[Skill],  "="&amp;Table17[[#This Row],[Passport to Advanced Mathematics]],Table4135256[Raw Score], "=1"),0))))))</f>
        <v>0</v>
      </c>
      <c r="D24" s="91">
        <f>IF(PTKEY=2, COUNTIFS(Table45[Skill], "="&amp;Table17[[#This Row],[Passport to Advanced Mathematics]], Table45[Raw Score], "=0") + COUNTIFS(Table413[Skill],  "="&amp;Table17[[#This Row],[Passport to Advanced Mathematics]], Table413[Raw Score], "=0"), IF(PTKEY=3, COUNTIFS(Table31231[Skill], "="&amp;Table17[[#This Row],[Passport to Advanced Mathematics]], Table31231[Raw Score], "=0") + COUNTIFS(Table41332[Skill],  "="&amp;Table17[[#This Row],[Passport to Advanced Mathematics]], Table41332[Raw Score], "=0"), IF(PTKEY=4, COUNTIFS(Table3123134[Skill], "="&amp;Table17[[#This Row],[Passport to Advanced Mathematics]],Table3123134[Raw Score], "=0") + COUNTIFS(Table4133235[Skill],  "="&amp;Table17[[#This Row],[Passport to Advanced Mathematics]],Table4133235[Raw Score], "=0"), IF(PTKEY=5, COUNTIFS(Table312313438[Skill], "="&amp;Table17[[#This Row],[Passport to Advanced Mathematics]],Table312313438[Raw Score], "=0") + COUNTIFS(Table413323539[Skill],  "="&amp;Table17[[#This Row],[Passport to Advanced Mathematics]],Table413323539[Raw Score], "=0"), IF(PTKEY=6, COUNTIFS(Table4554[Skill], "="&amp;Table17[[#This Row],[Passport to Advanced Mathematics]],Table4554[Raw Score], "=0") + COUNTIFS(Table41352[Skill],  "="&amp;Table17[[#This Row],[Passport to Advanced Mathematics]],Table41352[Raw Score], "=0"), IF(PTKEY=7, COUNTIFS(Table455458[Skill], "="&amp;Table17[[#This Row],[Passport to Advanced Mathematics]],Table455458[Raw Score], "=0") + COUNTIFS(Table4135256[Skill],  "="&amp;Table17[[#This Row],[Passport to Advanced Mathematics]],Table4135256[Raw Score], "=0"),0))))))</f>
        <v>3</v>
      </c>
      <c r="E24" s="93">
        <f>Table17[[#This Row],[Correct]]+Table17[[#This Row],[Incorrect/Blank]]</f>
        <v>3</v>
      </c>
      <c r="F24" s="63">
        <f>IF(Table17[[#This Row],['# of Questions]]&lt;&gt;0,Table17[[#This Row],[Correct]]/Table17[[#This Row],['# of Questions]],0)</f>
        <v>0</v>
      </c>
    </row>
    <row r="25" spans="2:6">
      <c r="B25" s="60" t="s">
        <v>83</v>
      </c>
      <c r="C25" s="91">
        <f>IF(PTKEY=2, COUNTIFS(Table45[Skill], "="&amp;Table17[[#This Row],[Passport to Advanced Mathematics]], Table45[Raw Score], "=1") + COUNTIFS(Table413[Skill],  "="&amp;Table17[[#This Row],[Passport to Advanced Mathematics]], Table413[Raw Score], "=1"), IF(PTKEY=3, COUNTIFS(Table31231[Skill], "="&amp;Table17[[#This Row],[Passport to Advanced Mathematics]], Table31231[Raw Score], "=1") + COUNTIFS(Table41332[Skill],  "="&amp;Table17[[#This Row],[Passport to Advanced Mathematics]], Table41332[Raw Score], "=1"), IF(PTKEY=4, COUNTIFS(Table3123134[Skill], "="&amp;Table17[[#This Row],[Passport to Advanced Mathematics]],Table3123134[Raw Score], "=1") + COUNTIFS(Table4133235[Skill],  "="&amp;Table17[[#This Row],[Passport to Advanced Mathematics]],Table4133235[Raw Score], "=1"), IF(PTKEY=5, COUNTIFS(Table312313438[Skill], "="&amp;Table17[[#This Row],[Passport to Advanced Mathematics]],Table312313438[Raw Score], "=1") + COUNTIFS(Table413323539[Skill],  "="&amp;Table17[[#This Row],[Passport to Advanced Mathematics]],Table413323539[Raw Score], "=1"), IF(PTKEY=6, COUNTIFS(Table4554[Skill], "="&amp;Table17[[#This Row],[Passport to Advanced Mathematics]],Table4554[Raw Score], "=1") + COUNTIFS(Table41352[Skill],  "="&amp;Table17[[#This Row],[Passport to Advanced Mathematics]],Table41352[Raw Score], "=1"),IF(PTKEY=7, COUNTIFS(Table455458[Skill], "="&amp;Table17[[#This Row],[Passport to Advanced Mathematics]],Table455458[Raw Score], "=1") + COUNTIFS(Table4135256[Skill],  "="&amp;Table17[[#This Row],[Passport to Advanced Mathematics]],Table4135256[Raw Score], "=1"),0))))))</f>
        <v>0</v>
      </c>
      <c r="D25" s="91">
        <f>IF(PTKEY=2, COUNTIFS(Table45[Skill], "="&amp;Table17[[#This Row],[Passport to Advanced Mathematics]], Table45[Raw Score], "=0") + COUNTIFS(Table413[Skill],  "="&amp;Table17[[#This Row],[Passport to Advanced Mathematics]], Table413[Raw Score], "=0"), IF(PTKEY=3, COUNTIFS(Table31231[Skill], "="&amp;Table17[[#This Row],[Passport to Advanced Mathematics]], Table31231[Raw Score], "=0") + COUNTIFS(Table41332[Skill],  "="&amp;Table17[[#This Row],[Passport to Advanced Mathematics]], Table41332[Raw Score], "=0"), IF(PTKEY=4, COUNTIFS(Table3123134[Skill], "="&amp;Table17[[#This Row],[Passport to Advanced Mathematics]],Table3123134[Raw Score], "=0") + COUNTIFS(Table4133235[Skill],  "="&amp;Table17[[#This Row],[Passport to Advanced Mathematics]],Table4133235[Raw Score], "=0"), IF(PTKEY=5, COUNTIFS(Table312313438[Skill], "="&amp;Table17[[#This Row],[Passport to Advanced Mathematics]],Table312313438[Raw Score], "=0") + COUNTIFS(Table413323539[Skill],  "="&amp;Table17[[#This Row],[Passport to Advanced Mathematics]],Table413323539[Raw Score], "=0"), IF(PTKEY=6, COUNTIFS(Table4554[Skill], "="&amp;Table17[[#This Row],[Passport to Advanced Mathematics]],Table4554[Raw Score], "=0") + COUNTIFS(Table41352[Skill],  "="&amp;Table17[[#This Row],[Passport to Advanced Mathematics]],Table41352[Raw Score], "=0"), IF(PTKEY=7, COUNTIFS(Table455458[Skill], "="&amp;Table17[[#This Row],[Passport to Advanced Mathematics]],Table455458[Raw Score], "=0") + COUNTIFS(Table4135256[Skill],  "="&amp;Table17[[#This Row],[Passport to Advanced Mathematics]],Table4135256[Raw Score], "=0"),0))))))</f>
        <v>2</v>
      </c>
      <c r="E25" s="93">
        <f>Table17[[#This Row],[Correct]]+Table17[[#This Row],[Incorrect/Blank]]</f>
        <v>2</v>
      </c>
      <c r="F25" s="63">
        <f>IF(Table17[[#This Row],['# of Questions]]&lt;&gt;0,Table17[[#This Row],[Correct]]/Table17[[#This Row],['# of Questions]],0)</f>
        <v>0</v>
      </c>
    </row>
    <row r="26" spans="2:6">
      <c r="B26" s="56" t="s">
        <v>84</v>
      </c>
      <c r="C26" s="91">
        <f>IF(PTKEY=2, COUNTIFS(Table45[Skill], "="&amp;Table17[[#This Row],[Passport to Advanced Mathematics]], Table45[Raw Score], "=1") + COUNTIFS(Table413[Skill],  "="&amp;Table17[[#This Row],[Passport to Advanced Mathematics]], Table413[Raw Score], "=1"), IF(PTKEY=3, COUNTIFS(Table31231[Skill], "="&amp;Table17[[#This Row],[Passport to Advanced Mathematics]], Table31231[Raw Score], "=1") + COUNTIFS(Table41332[Skill],  "="&amp;Table17[[#This Row],[Passport to Advanced Mathematics]], Table41332[Raw Score], "=1"), IF(PTKEY=4, COUNTIFS(Table3123134[Skill], "="&amp;Table17[[#This Row],[Passport to Advanced Mathematics]],Table3123134[Raw Score], "=1") + COUNTIFS(Table4133235[Skill],  "="&amp;Table17[[#This Row],[Passport to Advanced Mathematics]],Table4133235[Raw Score], "=1"), IF(PTKEY=5, COUNTIFS(Table312313438[Skill], "="&amp;Table17[[#This Row],[Passport to Advanced Mathematics]],Table312313438[Raw Score], "=1") + COUNTIFS(Table413323539[Skill],  "="&amp;Table17[[#This Row],[Passport to Advanced Mathematics]],Table413323539[Raw Score], "=1"), IF(PTKEY=6, COUNTIFS(Table4554[Skill], "="&amp;Table17[[#This Row],[Passport to Advanced Mathematics]],Table4554[Raw Score], "=1") + COUNTIFS(Table41352[Skill],  "="&amp;Table17[[#This Row],[Passport to Advanced Mathematics]],Table41352[Raw Score], "=1"),IF(PTKEY=7, COUNTIFS(Table455458[Skill], "="&amp;Table17[[#This Row],[Passport to Advanced Mathematics]],Table455458[Raw Score], "=1") + COUNTIFS(Table4135256[Skill],  "="&amp;Table17[[#This Row],[Passport to Advanced Mathematics]],Table4135256[Raw Score], "=1"),0))))))</f>
        <v>0</v>
      </c>
      <c r="D26" s="91">
        <f>IF(PTKEY=2, COUNTIFS(Table45[Skill], "="&amp;Table17[[#This Row],[Passport to Advanced Mathematics]], Table45[Raw Score], "=0") + COUNTIFS(Table413[Skill],  "="&amp;Table17[[#This Row],[Passport to Advanced Mathematics]], Table413[Raw Score], "=0"), IF(PTKEY=3, COUNTIFS(Table31231[Skill], "="&amp;Table17[[#This Row],[Passport to Advanced Mathematics]], Table31231[Raw Score], "=0") + COUNTIFS(Table41332[Skill],  "="&amp;Table17[[#This Row],[Passport to Advanced Mathematics]], Table41332[Raw Score], "=0"), IF(PTKEY=4, COUNTIFS(Table3123134[Skill], "="&amp;Table17[[#This Row],[Passport to Advanced Mathematics]],Table3123134[Raw Score], "=0") + COUNTIFS(Table4133235[Skill],  "="&amp;Table17[[#This Row],[Passport to Advanced Mathematics]],Table4133235[Raw Score], "=0"), IF(PTKEY=5, COUNTIFS(Table312313438[Skill], "="&amp;Table17[[#This Row],[Passport to Advanced Mathematics]],Table312313438[Raw Score], "=0") + COUNTIFS(Table413323539[Skill],  "="&amp;Table17[[#This Row],[Passport to Advanced Mathematics]],Table413323539[Raw Score], "=0"), IF(PTKEY=6, COUNTIFS(Table4554[Skill], "="&amp;Table17[[#This Row],[Passport to Advanced Mathematics]],Table4554[Raw Score], "=0") + COUNTIFS(Table41352[Skill],  "="&amp;Table17[[#This Row],[Passport to Advanced Mathematics]],Table41352[Raw Score], "=0"), IF(PTKEY=7, COUNTIFS(Table455458[Skill], "="&amp;Table17[[#This Row],[Passport to Advanced Mathematics]],Table455458[Raw Score], "=0") + COUNTIFS(Table4135256[Skill],  "="&amp;Table17[[#This Row],[Passport to Advanced Mathematics]],Table4135256[Raw Score], "=0"),0))))))</f>
        <v>3</v>
      </c>
      <c r="E26" s="93">
        <f>Table17[[#This Row],[Correct]]+Table17[[#This Row],[Incorrect/Blank]]</f>
        <v>3</v>
      </c>
      <c r="F26" s="63">
        <f>IF(Table17[[#This Row],['# of Questions]]&lt;&gt;0,Table17[[#This Row],[Correct]]/Table17[[#This Row],['# of Questions]],0)</f>
        <v>0</v>
      </c>
    </row>
    <row r="27" spans="2:6" ht="25.5">
      <c r="B27" s="60" t="s">
        <v>85</v>
      </c>
      <c r="C27" s="91">
        <f>IF(PTKEY=2, COUNTIFS(Table45[Skill], "="&amp;Table17[[#This Row],[Passport to Advanced Mathematics]], Table45[Raw Score], "=1") + COUNTIFS(Table413[Skill],  "="&amp;Table17[[#This Row],[Passport to Advanced Mathematics]], Table413[Raw Score], "=1"), IF(PTKEY=3, COUNTIFS(Table31231[Skill], "="&amp;Table17[[#This Row],[Passport to Advanced Mathematics]], Table31231[Raw Score], "=1") + COUNTIFS(Table41332[Skill],  "="&amp;Table17[[#This Row],[Passport to Advanced Mathematics]], Table41332[Raw Score], "=1"), IF(PTKEY=4, COUNTIFS(Table3123134[Skill], "="&amp;Table17[[#This Row],[Passport to Advanced Mathematics]],Table3123134[Raw Score], "=1") + COUNTIFS(Table4133235[Skill],  "="&amp;Table17[[#This Row],[Passport to Advanced Mathematics]],Table4133235[Raw Score], "=1"), IF(PTKEY=5, COUNTIFS(Table312313438[Skill], "="&amp;Table17[[#This Row],[Passport to Advanced Mathematics]],Table312313438[Raw Score], "=1") + COUNTIFS(Table413323539[Skill],  "="&amp;Table17[[#This Row],[Passport to Advanced Mathematics]],Table413323539[Raw Score], "=1"), IF(PTKEY=6, COUNTIFS(Table4554[Skill], "="&amp;Table17[[#This Row],[Passport to Advanced Mathematics]],Table4554[Raw Score], "=1") + COUNTIFS(Table41352[Skill],  "="&amp;Table17[[#This Row],[Passport to Advanced Mathematics]],Table41352[Raw Score], "=1"),IF(PTKEY=7, COUNTIFS(Table455458[Skill], "="&amp;Table17[[#This Row],[Passport to Advanced Mathematics]],Table455458[Raw Score], "=1") + COUNTIFS(Table4135256[Skill],  "="&amp;Table17[[#This Row],[Passport to Advanced Mathematics]],Table4135256[Raw Score], "=1"),0))))))</f>
        <v>0</v>
      </c>
      <c r="D27" s="91">
        <f>IF(PTKEY=2, COUNTIFS(Table45[Skill], "="&amp;Table17[[#This Row],[Passport to Advanced Mathematics]], Table45[Raw Score], "=0") + COUNTIFS(Table413[Skill],  "="&amp;Table17[[#This Row],[Passport to Advanced Mathematics]], Table413[Raw Score], "=0"), IF(PTKEY=3, COUNTIFS(Table31231[Skill], "="&amp;Table17[[#This Row],[Passport to Advanced Mathematics]], Table31231[Raw Score], "=0") + COUNTIFS(Table41332[Skill],  "="&amp;Table17[[#This Row],[Passport to Advanced Mathematics]], Table41332[Raw Score], "=0"), IF(PTKEY=4, COUNTIFS(Table3123134[Skill], "="&amp;Table17[[#This Row],[Passport to Advanced Mathematics]],Table3123134[Raw Score], "=0") + COUNTIFS(Table4133235[Skill],  "="&amp;Table17[[#This Row],[Passport to Advanced Mathematics]],Table4133235[Raw Score], "=0"), IF(PTKEY=5, COUNTIFS(Table312313438[Skill], "="&amp;Table17[[#This Row],[Passport to Advanced Mathematics]],Table312313438[Raw Score], "=0") + COUNTIFS(Table413323539[Skill],  "="&amp;Table17[[#This Row],[Passport to Advanced Mathematics]],Table413323539[Raw Score], "=0"), IF(PTKEY=6, COUNTIFS(Table4554[Skill], "="&amp;Table17[[#This Row],[Passport to Advanced Mathematics]],Table4554[Raw Score], "=0") + COUNTIFS(Table41352[Skill],  "="&amp;Table17[[#This Row],[Passport to Advanced Mathematics]],Table41352[Raw Score], "=0"), IF(PTKEY=7, COUNTIFS(Table455458[Skill], "="&amp;Table17[[#This Row],[Passport to Advanced Mathematics]],Table455458[Raw Score], "=0") + COUNTIFS(Table4135256[Skill],  "="&amp;Table17[[#This Row],[Passport to Advanced Mathematics]],Table4135256[Raw Score], "=0"),0))))))</f>
        <v>2</v>
      </c>
      <c r="E27" s="93">
        <f>Table17[[#This Row],[Correct]]+Table17[[#This Row],[Incorrect/Blank]]</f>
        <v>2</v>
      </c>
      <c r="F27" s="63">
        <f>IF(Table17[[#This Row],['# of Questions]]&lt;&gt;0,Table17[[#This Row],[Correct]]/Table17[[#This Row],['# of Questions]],0)</f>
        <v>0</v>
      </c>
    </row>
    <row r="28" spans="2:6">
      <c r="B28" s="60" t="s">
        <v>91</v>
      </c>
      <c r="C28" s="91">
        <f>IF(PTKEY=2, COUNTIFS(Table45[Skill], "="&amp;Table17[[#This Row],[Passport to Advanced Mathematics]], Table45[Raw Score], "=1") + COUNTIFS(Table413[Skill],  "="&amp;Table17[[#This Row],[Passport to Advanced Mathematics]], Table413[Raw Score], "=1"), IF(PTKEY=3, COUNTIFS(Table31231[Skill], "="&amp;Table17[[#This Row],[Passport to Advanced Mathematics]], Table31231[Raw Score], "=1") + COUNTIFS(Table41332[Skill],  "="&amp;Table17[[#This Row],[Passport to Advanced Mathematics]], Table41332[Raw Score], "=1"), IF(PTKEY=4, COUNTIFS(Table3123134[Skill], "="&amp;Table17[[#This Row],[Passport to Advanced Mathematics]],Table3123134[Raw Score], "=1") + COUNTIFS(Table4133235[Skill],  "="&amp;Table17[[#This Row],[Passport to Advanced Mathematics]],Table4133235[Raw Score], "=1"), IF(PTKEY=5, COUNTIFS(Table312313438[Skill], "="&amp;Table17[[#This Row],[Passport to Advanced Mathematics]],Table312313438[Raw Score], "=1") + COUNTIFS(Table413323539[Skill],  "="&amp;Table17[[#This Row],[Passport to Advanced Mathematics]],Table413323539[Raw Score], "=1"), IF(PTKEY=6, COUNTIFS(Table4554[Skill], "="&amp;Table17[[#This Row],[Passport to Advanced Mathematics]],Table4554[Raw Score], "=1") + COUNTIFS(Table41352[Skill],  "="&amp;Table17[[#This Row],[Passport to Advanced Mathematics]],Table41352[Raw Score], "=1"),IF(PTKEY=7, COUNTIFS(Table455458[Skill], "="&amp;Table17[[#This Row],[Passport to Advanced Mathematics]],Table455458[Raw Score], "=1") + COUNTIFS(Table4135256[Skill],  "="&amp;Table17[[#This Row],[Passport to Advanced Mathematics]],Table4135256[Raw Score], "=1"),0))))))</f>
        <v>0</v>
      </c>
      <c r="D28" s="91">
        <f>IF(PTKEY=2, COUNTIFS(Table45[Skill], "="&amp;Table17[[#This Row],[Passport to Advanced Mathematics]], Table45[Raw Score], "=0") + COUNTIFS(Table413[Skill],  "="&amp;Table17[[#This Row],[Passport to Advanced Mathematics]], Table413[Raw Score], "=0"), IF(PTKEY=3, COUNTIFS(Table31231[Skill], "="&amp;Table17[[#This Row],[Passport to Advanced Mathematics]], Table31231[Raw Score], "=0") + COUNTIFS(Table41332[Skill],  "="&amp;Table17[[#This Row],[Passport to Advanced Mathematics]], Table41332[Raw Score], "=0"), IF(PTKEY=4, COUNTIFS(Table3123134[Skill], "="&amp;Table17[[#This Row],[Passport to Advanced Mathematics]],Table3123134[Raw Score], "=0") + COUNTIFS(Table4133235[Skill],  "="&amp;Table17[[#This Row],[Passport to Advanced Mathematics]],Table4133235[Raw Score], "=0"), IF(PTKEY=5, COUNTIFS(Table312313438[Skill], "="&amp;Table17[[#This Row],[Passport to Advanced Mathematics]],Table312313438[Raw Score], "=0") + COUNTIFS(Table413323539[Skill],  "="&amp;Table17[[#This Row],[Passport to Advanced Mathematics]],Table413323539[Raw Score], "=0"), IF(PTKEY=6, COUNTIFS(Table4554[Skill], "="&amp;Table17[[#This Row],[Passport to Advanced Mathematics]],Table4554[Raw Score], "=0") + COUNTIFS(Table41352[Skill],  "="&amp;Table17[[#This Row],[Passport to Advanced Mathematics]],Table41352[Raw Score], "=0"), IF(PTKEY=7, COUNTIFS(Table455458[Skill], "="&amp;Table17[[#This Row],[Passport to Advanced Mathematics]],Table455458[Raw Score], "=0") + COUNTIFS(Table4135256[Skill],  "="&amp;Table17[[#This Row],[Passport to Advanced Mathematics]],Table4135256[Raw Score], "=0"),0))))))</f>
        <v>0</v>
      </c>
      <c r="E28" s="93">
        <f>Table17[[#This Row],[Correct]]+Table17[[#This Row],[Incorrect/Blank]]</f>
        <v>0</v>
      </c>
      <c r="F28" s="63">
        <f>IF(Table17[[#This Row],['# of Questions]]&lt;&gt;0,Table17[[#This Row],[Correct]]/Table17[[#This Row],['# of Questions]],0)</f>
        <v>0</v>
      </c>
    </row>
    <row r="29" spans="2:6">
      <c r="B29" s="56" t="s">
        <v>86</v>
      </c>
      <c r="C29" s="91">
        <f>IF(PTKEY=2, COUNTIFS(Table45[Skill], "="&amp;Table17[[#This Row],[Passport to Advanced Mathematics]], Table45[Raw Score], "=1") + COUNTIFS(Table413[Skill],  "="&amp;Table17[[#This Row],[Passport to Advanced Mathematics]], Table413[Raw Score], "=1"), IF(PTKEY=3, COUNTIFS(Table31231[Skill], "="&amp;Table17[[#This Row],[Passport to Advanced Mathematics]], Table31231[Raw Score], "=1") + COUNTIFS(Table41332[Skill],  "="&amp;Table17[[#This Row],[Passport to Advanced Mathematics]], Table41332[Raw Score], "=1"), IF(PTKEY=4, COUNTIFS(Table3123134[Skill], "="&amp;Table17[[#This Row],[Passport to Advanced Mathematics]],Table3123134[Raw Score], "=1") + COUNTIFS(Table4133235[Skill],  "="&amp;Table17[[#This Row],[Passport to Advanced Mathematics]],Table4133235[Raw Score], "=1"), IF(PTKEY=5, COUNTIFS(Table312313438[Skill], "="&amp;Table17[[#This Row],[Passport to Advanced Mathematics]],Table312313438[Raw Score], "=1") + COUNTIFS(Table413323539[Skill],  "="&amp;Table17[[#This Row],[Passport to Advanced Mathematics]],Table413323539[Raw Score], "=1"), IF(PTKEY=6, COUNTIFS(Table4554[Skill], "="&amp;Table17[[#This Row],[Passport to Advanced Mathematics]],Table4554[Raw Score], "=1") + COUNTIFS(Table41352[Skill],  "="&amp;Table17[[#This Row],[Passport to Advanced Mathematics]],Table41352[Raw Score], "=1"),IF(PTKEY=7, COUNTIFS(Table455458[Skill], "="&amp;Table17[[#This Row],[Passport to Advanced Mathematics]],Table455458[Raw Score], "=1") + COUNTIFS(Table4135256[Skill],  "="&amp;Table17[[#This Row],[Passport to Advanced Mathematics]],Table4135256[Raw Score], "=1"),0))))))</f>
        <v>0</v>
      </c>
      <c r="D29" s="91">
        <f>IF(PTKEY=2, COUNTIFS(Table45[Skill], "="&amp;Table17[[#This Row],[Passport to Advanced Mathematics]], Table45[Raw Score], "=0") + COUNTIFS(Table413[Skill],  "="&amp;Table17[[#This Row],[Passport to Advanced Mathematics]], Table413[Raw Score], "=0"), IF(PTKEY=3, COUNTIFS(Table31231[Skill], "="&amp;Table17[[#This Row],[Passport to Advanced Mathematics]], Table31231[Raw Score], "=0") + COUNTIFS(Table41332[Skill],  "="&amp;Table17[[#This Row],[Passport to Advanced Mathematics]], Table41332[Raw Score], "=0"), IF(PTKEY=4, COUNTIFS(Table3123134[Skill], "="&amp;Table17[[#This Row],[Passport to Advanced Mathematics]],Table3123134[Raw Score], "=0") + COUNTIFS(Table4133235[Skill],  "="&amp;Table17[[#This Row],[Passport to Advanced Mathematics]],Table4133235[Raw Score], "=0"), IF(PTKEY=5, COUNTIFS(Table312313438[Skill], "="&amp;Table17[[#This Row],[Passport to Advanced Mathematics]],Table312313438[Raw Score], "=0") + COUNTIFS(Table413323539[Skill],  "="&amp;Table17[[#This Row],[Passport to Advanced Mathematics]],Table413323539[Raw Score], "=0"), IF(PTKEY=6, COUNTIFS(Table4554[Skill], "="&amp;Table17[[#This Row],[Passport to Advanced Mathematics]],Table4554[Raw Score], "=0") + COUNTIFS(Table41352[Skill],  "="&amp;Table17[[#This Row],[Passport to Advanced Mathematics]],Table41352[Raw Score], "=0"), IF(PTKEY=7, COUNTIFS(Table455458[Skill], "="&amp;Table17[[#This Row],[Passport to Advanced Mathematics]],Table455458[Raw Score], "=0") + COUNTIFS(Table4135256[Skill],  "="&amp;Table17[[#This Row],[Passport to Advanced Mathematics]],Table4135256[Raw Score], "=0"),0))))))</f>
        <v>1</v>
      </c>
      <c r="E29" s="93">
        <f>Table17[[#This Row],[Correct]]+Table17[[#This Row],[Incorrect/Blank]]</f>
        <v>1</v>
      </c>
      <c r="F29" s="63">
        <f>IF(Table17[[#This Row],['# of Questions]]&lt;&gt;0,Table17[[#This Row],[Correct]]/Table17[[#This Row],['# of Questions]],0)</f>
        <v>0</v>
      </c>
    </row>
    <row r="30" spans="2:6">
      <c r="B30" s="60" t="s">
        <v>87</v>
      </c>
      <c r="C30" s="91">
        <f>IF(PTKEY=2, COUNTIFS(Table45[Skill], "="&amp;Table17[[#This Row],[Passport to Advanced Mathematics]], Table45[Raw Score], "=1") + COUNTIFS(Table413[Skill],  "="&amp;Table17[[#This Row],[Passport to Advanced Mathematics]], Table413[Raw Score], "=1"), IF(PTKEY=3, COUNTIFS(Table31231[Skill], "="&amp;Table17[[#This Row],[Passport to Advanced Mathematics]], Table31231[Raw Score], "=1") + COUNTIFS(Table41332[Skill],  "="&amp;Table17[[#This Row],[Passport to Advanced Mathematics]], Table41332[Raw Score], "=1"), IF(PTKEY=4, COUNTIFS(Table3123134[Skill], "="&amp;Table17[[#This Row],[Passport to Advanced Mathematics]],Table3123134[Raw Score], "=1") + COUNTIFS(Table4133235[Skill],  "="&amp;Table17[[#This Row],[Passport to Advanced Mathematics]],Table4133235[Raw Score], "=1"), IF(PTKEY=5, COUNTIFS(Table312313438[Skill], "="&amp;Table17[[#This Row],[Passport to Advanced Mathematics]],Table312313438[Raw Score], "=1") + COUNTIFS(Table413323539[Skill],  "="&amp;Table17[[#This Row],[Passport to Advanced Mathematics]],Table413323539[Raw Score], "=1"), IF(PTKEY=6, COUNTIFS(Table4554[Skill], "="&amp;Table17[[#This Row],[Passport to Advanced Mathematics]],Table4554[Raw Score], "=1") + COUNTIFS(Table41352[Skill],  "="&amp;Table17[[#This Row],[Passport to Advanced Mathematics]],Table41352[Raw Score], "=1"),IF(PTKEY=7, COUNTIFS(Table455458[Skill], "="&amp;Table17[[#This Row],[Passport to Advanced Mathematics]],Table455458[Raw Score], "=1") + COUNTIFS(Table4135256[Skill],  "="&amp;Table17[[#This Row],[Passport to Advanced Mathematics]],Table4135256[Raw Score], "=1"),0))))))</f>
        <v>0</v>
      </c>
      <c r="D30" s="91">
        <f>IF(PTKEY=2, COUNTIFS(Table45[Skill], "="&amp;Table17[[#This Row],[Passport to Advanced Mathematics]], Table45[Raw Score], "=0") + COUNTIFS(Table413[Skill],  "="&amp;Table17[[#This Row],[Passport to Advanced Mathematics]], Table413[Raw Score], "=0"), IF(PTKEY=3, COUNTIFS(Table31231[Skill], "="&amp;Table17[[#This Row],[Passport to Advanced Mathematics]], Table31231[Raw Score], "=0") + COUNTIFS(Table41332[Skill],  "="&amp;Table17[[#This Row],[Passport to Advanced Mathematics]], Table41332[Raw Score], "=0"), IF(PTKEY=4, COUNTIFS(Table3123134[Skill], "="&amp;Table17[[#This Row],[Passport to Advanced Mathematics]],Table3123134[Raw Score], "=0") + COUNTIFS(Table4133235[Skill],  "="&amp;Table17[[#This Row],[Passport to Advanced Mathematics]],Table4133235[Raw Score], "=0"), IF(PTKEY=5, COUNTIFS(Table312313438[Skill], "="&amp;Table17[[#This Row],[Passport to Advanced Mathematics]],Table312313438[Raw Score], "=0") + COUNTIFS(Table413323539[Skill],  "="&amp;Table17[[#This Row],[Passport to Advanced Mathematics]],Table413323539[Raw Score], "=0"), IF(PTKEY=6, COUNTIFS(Table4554[Skill], "="&amp;Table17[[#This Row],[Passport to Advanced Mathematics]],Table4554[Raw Score], "=0") + COUNTIFS(Table41352[Skill],  "="&amp;Table17[[#This Row],[Passport to Advanced Mathematics]],Table41352[Raw Score], "=0"), IF(PTKEY=7, COUNTIFS(Table455458[Skill], "="&amp;Table17[[#This Row],[Passport to Advanced Mathematics]],Table455458[Raw Score], "=0") + COUNTIFS(Table4135256[Skill],  "="&amp;Table17[[#This Row],[Passport to Advanced Mathematics]],Table4135256[Raw Score], "=0"),0))))))</f>
        <v>1</v>
      </c>
      <c r="E30" s="93">
        <f>Table17[[#This Row],[Correct]]+Table17[[#This Row],[Incorrect/Blank]]</f>
        <v>1</v>
      </c>
      <c r="F30" s="63">
        <f>IF(Table17[[#This Row],['# of Questions]]&lt;&gt;0,Table17[[#This Row],[Correct]]/Table17[[#This Row],['# of Questions]],0)</f>
        <v>0</v>
      </c>
    </row>
    <row r="31" spans="2:6">
      <c r="B31" s="56" t="s">
        <v>88</v>
      </c>
      <c r="C31" s="91">
        <f>IF(PTKEY=2, COUNTIFS(Table45[Skill], "="&amp;Table17[[#This Row],[Passport to Advanced Mathematics]], Table45[Raw Score], "=1") + COUNTIFS(Table413[Skill],  "="&amp;Table17[[#This Row],[Passport to Advanced Mathematics]], Table413[Raw Score], "=1"), IF(PTKEY=3, COUNTIFS(Table31231[Skill], "="&amp;Table17[[#This Row],[Passport to Advanced Mathematics]], Table31231[Raw Score], "=1") + COUNTIFS(Table41332[Skill],  "="&amp;Table17[[#This Row],[Passport to Advanced Mathematics]], Table41332[Raw Score], "=1"), IF(PTKEY=4, COUNTIFS(Table3123134[Skill], "="&amp;Table17[[#This Row],[Passport to Advanced Mathematics]],Table3123134[Raw Score], "=1") + COUNTIFS(Table4133235[Skill],  "="&amp;Table17[[#This Row],[Passport to Advanced Mathematics]],Table4133235[Raw Score], "=1"), IF(PTKEY=5, COUNTIFS(Table312313438[Skill], "="&amp;Table17[[#This Row],[Passport to Advanced Mathematics]],Table312313438[Raw Score], "=1") + COUNTIFS(Table413323539[Skill],  "="&amp;Table17[[#This Row],[Passport to Advanced Mathematics]],Table413323539[Raw Score], "=1"), IF(PTKEY=6, COUNTIFS(Table4554[Skill], "="&amp;Table17[[#This Row],[Passport to Advanced Mathematics]],Table4554[Raw Score], "=1") + COUNTIFS(Table41352[Skill],  "="&amp;Table17[[#This Row],[Passport to Advanced Mathematics]],Table41352[Raw Score], "=1"),IF(PTKEY=7, COUNTIFS(Table455458[Skill], "="&amp;Table17[[#This Row],[Passport to Advanced Mathematics]],Table455458[Raw Score], "=1") + COUNTIFS(Table4135256[Skill],  "="&amp;Table17[[#This Row],[Passport to Advanced Mathematics]],Table4135256[Raw Score], "=1"),0))))))</f>
        <v>0</v>
      </c>
      <c r="D31" s="91">
        <f>IF(PTKEY=2, COUNTIFS(Table45[Skill], "="&amp;Table17[[#This Row],[Passport to Advanced Mathematics]], Table45[Raw Score], "=0") + COUNTIFS(Table413[Skill],  "="&amp;Table17[[#This Row],[Passport to Advanced Mathematics]], Table413[Raw Score], "=0"), IF(PTKEY=3, COUNTIFS(Table31231[Skill], "="&amp;Table17[[#This Row],[Passport to Advanced Mathematics]], Table31231[Raw Score], "=0") + COUNTIFS(Table41332[Skill],  "="&amp;Table17[[#This Row],[Passport to Advanced Mathematics]], Table41332[Raw Score], "=0"), IF(PTKEY=4, COUNTIFS(Table3123134[Skill], "="&amp;Table17[[#This Row],[Passport to Advanced Mathematics]],Table3123134[Raw Score], "=0") + COUNTIFS(Table4133235[Skill],  "="&amp;Table17[[#This Row],[Passport to Advanced Mathematics]],Table4133235[Raw Score], "=0"), IF(PTKEY=5, COUNTIFS(Table312313438[Skill], "="&amp;Table17[[#This Row],[Passport to Advanced Mathematics]],Table312313438[Raw Score], "=0") + COUNTIFS(Table413323539[Skill],  "="&amp;Table17[[#This Row],[Passport to Advanced Mathematics]],Table413323539[Raw Score], "=0"), IF(PTKEY=6, COUNTIFS(Table4554[Skill], "="&amp;Table17[[#This Row],[Passport to Advanced Mathematics]],Table4554[Raw Score], "=0") + COUNTIFS(Table41352[Skill],  "="&amp;Table17[[#This Row],[Passport to Advanced Mathematics]],Table41352[Raw Score], "=0"), IF(PTKEY=7, COUNTIFS(Table455458[Skill], "="&amp;Table17[[#This Row],[Passport to Advanced Mathematics]],Table455458[Raw Score], "=0") + COUNTIFS(Table4135256[Skill],  "="&amp;Table17[[#This Row],[Passport to Advanced Mathematics]],Table4135256[Raw Score], "=0"),0))))))</f>
        <v>0</v>
      </c>
      <c r="E31" s="93">
        <f>Table17[[#This Row],[Correct]]+Table17[[#This Row],[Incorrect/Blank]]</f>
        <v>0</v>
      </c>
      <c r="F31" s="63">
        <f>IF(Table17[[#This Row],['# of Questions]]&lt;&gt;0,Table17[[#This Row],[Correct]]/Table17[[#This Row],['# of Questions]],0)</f>
        <v>0</v>
      </c>
    </row>
    <row r="32" spans="2:6">
      <c r="B32" s="60" t="s">
        <v>89</v>
      </c>
      <c r="C32" s="91">
        <f>IF(PTKEY=2, COUNTIFS(Table45[Skill], "="&amp;Table17[[#This Row],[Passport to Advanced Mathematics]], Table45[Raw Score], "=1") + COUNTIFS(Table413[Skill],  "="&amp;Table17[[#This Row],[Passport to Advanced Mathematics]], Table413[Raw Score], "=1"), IF(PTKEY=3, COUNTIFS(Table31231[Skill], "="&amp;Table17[[#This Row],[Passport to Advanced Mathematics]], Table31231[Raw Score], "=1") + COUNTIFS(Table41332[Skill],  "="&amp;Table17[[#This Row],[Passport to Advanced Mathematics]], Table41332[Raw Score], "=1"), IF(PTKEY=4, COUNTIFS(Table3123134[Skill], "="&amp;Table17[[#This Row],[Passport to Advanced Mathematics]],Table3123134[Raw Score], "=1") + COUNTIFS(Table4133235[Skill],  "="&amp;Table17[[#This Row],[Passport to Advanced Mathematics]],Table4133235[Raw Score], "=1"), IF(PTKEY=5, COUNTIFS(Table312313438[Skill], "="&amp;Table17[[#This Row],[Passport to Advanced Mathematics]],Table312313438[Raw Score], "=1") + COUNTIFS(Table413323539[Skill],  "="&amp;Table17[[#This Row],[Passport to Advanced Mathematics]],Table413323539[Raw Score], "=1"), IF(PTKEY=6, COUNTIFS(Table4554[Skill], "="&amp;Table17[[#This Row],[Passport to Advanced Mathematics]],Table4554[Raw Score], "=1") + COUNTIFS(Table41352[Skill],  "="&amp;Table17[[#This Row],[Passport to Advanced Mathematics]],Table41352[Raw Score], "=1"),IF(PTKEY=7, COUNTIFS(Table455458[Skill], "="&amp;Table17[[#This Row],[Passport to Advanced Mathematics]],Table455458[Raw Score], "=1") + COUNTIFS(Table4135256[Skill],  "="&amp;Table17[[#This Row],[Passport to Advanced Mathematics]],Table4135256[Raw Score], "=1"),0))))))</f>
        <v>0</v>
      </c>
      <c r="D32" s="91">
        <f>IF(PTKEY=2, COUNTIFS(Table45[Skill], "="&amp;Table17[[#This Row],[Passport to Advanced Mathematics]], Table45[Raw Score], "=0") + COUNTIFS(Table413[Skill],  "="&amp;Table17[[#This Row],[Passport to Advanced Mathematics]], Table413[Raw Score], "=0"), IF(PTKEY=3, COUNTIFS(Table31231[Skill], "="&amp;Table17[[#This Row],[Passport to Advanced Mathematics]], Table31231[Raw Score], "=0") + COUNTIFS(Table41332[Skill],  "="&amp;Table17[[#This Row],[Passport to Advanced Mathematics]], Table41332[Raw Score], "=0"), IF(PTKEY=4, COUNTIFS(Table3123134[Skill], "="&amp;Table17[[#This Row],[Passport to Advanced Mathematics]],Table3123134[Raw Score], "=0") + COUNTIFS(Table4133235[Skill],  "="&amp;Table17[[#This Row],[Passport to Advanced Mathematics]],Table4133235[Raw Score], "=0"), IF(PTKEY=5, COUNTIFS(Table312313438[Skill], "="&amp;Table17[[#This Row],[Passport to Advanced Mathematics]],Table312313438[Raw Score], "=0") + COUNTIFS(Table413323539[Skill],  "="&amp;Table17[[#This Row],[Passport to Advanced Mathematics]],Table413323539[Raw Score], "=0"), IF(PTKEY=6, COUNTIFS(Table4554[Skill], "="&amp;Table17[[#This Row],[Passport to Advanced Mathematics]],Table4554[Raw Score], "=0") + COUNTIFS(Table41352[Skill],  "="&amp;Table17[[#This Row],[Passport to Advanced Mathematics]],Table41352[Raw Score], "=0"), IF(PTKEY=7, COUNTIFS(Table455458[Skill], "="&amp;Table17[[#This Row],[Passport to Advanced Mathematics]],Table455458[Raw Score], "=0") + COUNTIFS(Table4135256[Skill],  "="&amp;Table17[[#This Row],[Passport to Advanced Mathematics]],Table4135256[Raw Score], "=0"),0))))))</f>
        <v>0</v>
      </c>
      <c r="E32" s="93">
        <f>Table17[[#This Row],[Correct]]+Table17[[#This Row],[Incorrect/Blank]]</f>
        <v>0</v>
      </c>
      <c r="F32" s="63">
        <f>IF(Table17[[#This Row],['# of Questions]]&lt;&gt;0,Table17[[#This Row],[Correct]]/Table17[[#This Row],['# of Questions]],0)</f>
        <v>0</v>
      </c>
    </row>
    <row r="33" spans="1:6">
      <c r="B33" s="56" t="s">
        <v>90</v>
      </c>
      <c r="C33" s="91">
        <f>IF(PTKEY=2, COUNTIFS(Table45[Skill], "="&amp;Table17[[#This Row],[Passport to Advanced Mathematics]], Table45[Raw Score], "=1") + COUNTIFS(Table413[Skill],  "="&amp;Table17[[#This Row],[Passport to Advanced Mathematics]], Table413[Raw Score], "=1"), IF(PTKEY=3, COUNTIFS(Table31231[Skill], "="&amp;Table17[[#This Row],[Passport to Advanced Mathematics]], Table31231[Raw Score], "=1") + COUNTIFS(Table41332[Skill],  "="&amp;Table17[[#This Row],[Passport to Advanced Mathematics]], Table41332[Raw Score], "=1"), IF(PTKEY=4, COUNTIFS(Table3123134[Skill], "="&amp;Table17[[#This Row],[Passport to Advanced Mathematics]],Table3123134[Raw Score], "=1") + COUNTIFS(Table4133235[Skill],  "="&amp;Table17[[#This Row],[Passport to Advanced Mathematics]],Table4133235[Raw Score], "=1"), IF(PTKEY=5, COUNTIFS(Table312313438[Skill], "="&amp;Table17[[#This Row],[Passport to Advanced Mathematics]],Table312313438[Raw Score], "=1") + COUNTIFS(Table413323539[Skill],  "="&amp;Table17[[#This Row],[Passport to Advanced Mathematics]],Table413323539[Raw Score], "=1"), IF(PTKEY=6, COUNTIFS(Table4554[Skill], "="&amp;Table17[[#This Row],[Passport to Advanced Mathematics]],Table4554[Raw Score], "=1") + COUNTIFS(Table41352[Skill],  "="&amp;Table17[[#This Row],[Passport to Advanced Mathematics]],Table41352[Raw Score], "=1"),IF(PTKEY=7, COUNTIFS(Table455458[Skill], "="&amp;Table17[[#This Row],[Passport to Advanced Mathematics]],Table455458[Raw Score], "=1") + COUNTIFS(Table4135256[Skill],  "="&amp;Table17[[#This Row],[Passport to Advanced Mathematics]],Table4135256[Raw Score], "=1"),0))))))</f>
        <v>0</v>
      </c>
      <c r="D33" s="91">
        <f>IF(PTKEY=2, COUNTIFS(Table45[Skill], "="&amp;Table17[[#This Row],[Passport to Advanced Mathematics]], Table45[Raw Score], "=0") + COUNTIFS(Table413[Skill],  "="&amp;Table17[[#This Row],[Passport to Advanced Mathematics]], Table413[Raw Score], "=0"), IF(PTKEY=3, COUNTIFS(Table31231[Skill], "="&amp;Table17[[#This Row],[Passport to Advanced Mathematics]], Table31231[Raw Score], "=0") + COUNTIFS(Table41332[Skill],  "="&amp;Table17[[#This Row],[Passport to Advanced Mathematics]], Table41332[Raw Score], "=0"), IF(PTKEY=4, COUNTIFS(Table3123134[Skill], "="&amp;Table17[[#This Row],[Passport to Advanced Mathematics]],Table3123134[Raw Score], "=0") + COUNTIFS(Table4133235[Skill],  "="&amp;Table17[[#This Row],[Passport to Advanced Mathematics]],Table4133235[Raw Score], "=0"), IF(PTKEY=5, COUNTIFS(Table312313438[Skill], "="&amp;Table17[[#This Row],[Passport to Advanced Mathematics]],Table312313438[Raw Score], "=0") + COUNTIFS(Table413323539[Skill],  "="&amp;Table17[[#This Row],[Passport to Advanced Mathematics]],Table413323539[Raw Score], "=0"), IF(PTKEY=6, COUNTIFS(Table4554[Skill], "="&amp;Table17[[#This Row],[Passport to Advanced Mathematics]],Table4554[Raw Score], "=0") + COUNTIFS(Table41352[Skill],  "="&amp;Table17[[#This Row],[Passport to Advanced Mathematics]],Table41352[Raw Score], "=0"), IF(PTKEY=7, COUNTIFS(Table455458[Skill], "="&amp;Table17[[#This Row],[Passport to Advanced Mathematics]],Table455458[Raw Score], "=0") + COUNTIFS(Table4135256[Skill],  "="&amp;Table17[[#This Row],[Passport to Advanced Mathematics]],Table4135256[Raw Score], "=0"),0))))))</f>
        <v>1</v>
      </c>
      <c r="E33" s="93">
        <f>Table17[[#This Row],[Correct]]+Table17[[#This Row],[Incorrect/Blank]]</f>
        <v>1</v>
      </c>
      <c r="F33" s="63">
        <f>IF(Table17[[#This Row],['# of Questions]]&lt;&gt;0,Table17[[#This Row],[Correct]]/Table17[[#This Row],['# of Questions]],0)</f>
        <v>0</v>
      </c>
    </row>
    <row r="34" spans="1:6">
      <c r="B34" s="56" t="s">
        <v>92</v>
      </c>
      <c r="C34" s="91">
        <f>IF(PTKEY=2, COUNTIFS(Table45[Skill], "="&amp;Table17[[#This Row],[Passport to Advanced Mathematics]], Table45[Raw Score], "=1") + COUNTIFS(Table413[Skill],  "="&amp;Table17[[#This Row],[Passport to Advanced Mathematics]], Table413[Raw Score], "=1"), IF(PTKEY=3, COUNTIFS(Table31231[Skill], "="&amp;Table17[[#This Row],[Passport to Advanced Mathematics]], Table31231[Raw Score], "=1") + COUNTIFS(Table41332[Skill],  "="&amp;Table17[[#This Row],[Passport to Advanced Mathematics]], Table41332[Raw Score], "=1"), IF(PTKEY=4, COUNTIFS(Table3123134[Skill], "="&amp;Table17[[#This Row],[Passport to Advanced Mathematics]],Table3123134[Raw Score], "=1") + COUNTIFS(Table4133235[Skill],  "="&amp;Table17[[#This Row],[Passport to Advanced Mathematics]],Table4133235[Raw Score], "=1"), IF(PTKEY=5, COUNTIFS(Table312313438[Skill], "="&amp;Table17[[#This Row],[Passport to Advanced Mathematics]],Table312313438[Raw Score], "=1") + COUNTIFS(Table413323539[Skill],  "="&amp;Table17[[#This Row],[Passport to Advanced Mathematics]],Table413323539[Raw Score], "=1"), IF(PTKEY=6, COUNTIFS(Table4554[Skill], "="&amp;Table17[[#This Row],[Passport to Advanced Mathematics]],Table4554[Raw Score], "=1") + COUNTIFS(Table41352[Skill],  "="&amp;Table17[[#This Row],[Passport to Advanced Mathematics]],Table41352[Raw Score], "=1"),IF(PTKEY=7, COUNTIFS(Table455458[Skill], "="&amp;Table17[[#This Row],[Passport to Advanced Mathematics]],Table455458[Raw Score], "=1") + COUNTIFS(Table4135256[Skill],  "="&amp;Table17[[#This Row],[Passport to Advanced Mathematics]],Table4135256[Raw Score], "=1"),0))))))</f>
        <v>0</v>
      </c>
      <c r="D34" s="91">
        <f>IF(PTKEY=2, COUNTIFS(Table45[Skill], "="&amp;Table17[[#This Row],[Passport to Advanced Mathematics]], Table45[Raw Score], "=0") + COUNTIFS(Table413[Skill],  "="&amp;Table17[[#This Row],[Passport to Advanced Mathematics]], Table413[Raw Score], "=0"), IF(PTKEY=3, COUNTIFS(Table31231[Skill], "="&amp;Table17[[#This Row],[Passport to Advanced Mathematics]], Table31231[Raw Score], "=0") + COUNTIFS(Table41332[Skill],  "="&amp;Table17[[#This Row],[Passport to Advanced Mathematics]], Table41332[Raw Score], "=0"), IF(PTKEY=4, COUNTIFS(Table3123134[Skill], "="&amp;Table17[[#This Row],[Passport to Advanced Mathematics]],Table3123134[Raw Score], "=0") + COUNTIFS(Table4133235[Skill],  "="&amp;Table17[[#This Row],[Passport to Advanced Mathematics]],Table4133235[Raw Score], "=0"), IF(PTKEY=5, COUNTIFS(Table312313438[Skill], "="&amp;Table17[[#This Row],[Passport to Advanced Mathematics]],Table312313438[Raw Score], "=0") + COUNTIFS(Table413323539[Skill],  "="&amp;Table17[[#This Row],[Passport to Advanced Mathematics]],Table413323539[Raw Score], "=0"), IF(PTKEY=6, COUNTIFS(Table4554[Skill], "="&amp;Table17[[#This Row],[Passport to Advanced Mathematics]],Table4554[Raw Score], "=0") + COUNTIFS(Table41352[Skill],  "="&amp;Table17[[#This Row],[Passport to Advanced Mathematics]],Table41352[Raw Score], "=0"), IF(PTKEY=7, COUNTIFS(Table455458[Skill], "="&amp;Table17[[#This Row],[Passport to Advanced Mathematics]],Table455458[Raw Score], "=0") + COUNTIFS(Table4135256[Skill],  "="&amp;Table17[[#This Row],[Passport to Advanced Mathematics]],Table4135256[Raw Score], "=0"),0))))))</f>
        <v>0</v>
      </c>
      <c r="E34" s="93">
        <f>Table17[[#This Row],[Correct]]+Table17[[#This Row],[Incorrect/Blank]]</f>
        <v>0</v>
      </c>
      <c r="F34" s="63">
        <f>IF(Table17[[#This Row],['# of Questions]]&lt;&gt;0,Table17[[#This Row],[Correct]]/Table17[[#This Row],['# of Questions]],0)</f>
        <v>0</v>
      </c>
    </row>
    <row r="35" spans="1:6">
      <c r="B35" s="60" t="s">
        <v>93</v>
      </c>
      <c r="C35" s="91">
        <f>IF(PTKEY=2, COUNTIFS(Table45[Skill], "="&amp;Table17[[#This Row],[Passport to Advanced Mathematics]], Table45[Raw Score], "=1") + COUNTIFS(Table413[Skill],  "="&amp;Table17[[#This Row],[Passport to Advanced Mathematics]], Table413[Raw Score], "=1"), IF(PTKEY=3, COUNTIFS(Table31231[Skill], "="&amp;Table17[[#This Row],[Passport to Advanced Mathematics]], Table31231[Raw Score], "=1") + COUNTIFS(Table41332[Skill],  "="&amp;Table17[[#This Row],[Passport to Advanced Mathematics]], Table41332[Raw Score], "=1"), IF(PTKEY=4, COUNTIFS(Table3123134[Skill], "="&amp;Table17[[#This Row],[Passport to Advanced Mathematics]],Table3123134[Raw Score], "=1") + COUNTIFS(Table4133235[Skill],  "="&amp;Table17[[#This Row],[Passport to Advanced Mathematics]],Table4133235[Raw Score], "=1"), IF(PTKEY=5, COUNTIFS(Table312313438[Skill], "="&amp;Table17[[#This Row],[Passport to Advanced Mathematics]],Table312313438[Raw Score], "=1") + COUNTIFS(Table413323539[Skill],  "="&amp;Table17[[#This Row],[Passport to Advanced Mathematics]],Table413323539[Raw Score], "=1"), IF(PTKEY=6, COUNTIFS(Table4554[Skill], "="&amp;Table17[[#This Row],[Passport to Advanced Mathematics]],Table4554[Raw Score], "=1") + COUNTIFS(Table41352[Skill],  "="&amp;Table17[[#This Row],[Passport to Advanced Mathematics]],Table41352[Raw Score], "=1"),IF(PTKEY=7, COUNTIFS(Table455458[Skill], "="&amp;Table17[[#This Row],[Passport to Advanced Mathematics]],Table455458[Raw Score], "=1") + COUNTIFS(Table4135256[Skill],  "="&amp;Table17[[#This Row],[Passport to Advanced Mathematics]],Table4135256[Raw Score], "=1"),0))))))</f>
        <v>0</v>
      </c>
      <c r="D35" s="91">
        <f>IF(PTKEY=2, COUNTIFS(Table45[Skill], "="&amp;Table17[[#This Row],[Passport to Advanced Mathematics]], Table45[Raw Score], "=0") + COUNTIFS(Table413[Skill],  "="&amp;Table17[[#This Row],[Passport to Advanced Mathematics]], Table413[Raw Score], "=0"), IF(PTKEY=3, COUNTIFS(Table31231[Skill], "="&amp;Table17[[#This Row],[Passport to Advanced Mathematics]], Table31231[Raw Score], "=0") + COUNTIFS(Table41332[Skill],  "="&amp;Table17[[#This Row],[Passport to Advanced Mathematics]], Table41332[Raw Score], "=0"), IF(PTKEY=4, COUNTIFS(Table3123134[Skill], "="&amp;Table17[[#This Row],[Passport to Advanced Mathematics]],Table3123134[Raw Score], "=0") + COUNTIFS(Table4133235[Skill],  "="&amp;Table17[[#This Row],[Passport to Advanced Mathematics]],Table4133235[Raw Score], "=0"), IF(PTKEY=5, COUNTIFS(Table312313438[Skill], "="&amp;Table17[[#This Row],[Passport to Advanced Mathematics]],Table312313438[Raw Score], "=0") + COUNTIFS(Table413323539[Skill],  "="&amp;Table17[[#This Row],[Passport to Advanced Mathematics]],Table413323539[Raw Score], "=0"), IF(PTKEY=6, COUNTIFS(Table4554[Skill], "="&amp;Table17[[#This Row],[Passport to Advanced Mathematics]],Table4554[Raw Score], "=0") + COUNTIFS(Table41352[Skill],  "="&amp;Table17[[#This Row],[Passport to Advanced Mathematics]],Table41352[Raw Score], "=0"), IF(PTKEY=7, COUNTIFS(Table455458[Skill], "="&amp;Table17[[#This Row],[Passport to Advanced Mathematics]],Table455458[Raw Score], "=0") + COUNTIFS(Table4135256[Skill],  "="&amp;Table17[[#This Row],[Passport to Advanced Mathematics]],Table4135256[Raw Score], "=0"),0))))))</f>
        <v>3</v>
      </c>
      <c r="E35" s="93">
        <f>Table17[[#This Row],[Correct]]+Table17[[#This Row],[Incorrect/Blank]]</f>
        <v>3</v>
      </c>
      <c r="F35" s="63">
        <f>IF(Table17[[#This Row],['# of Questions]]&lt;&gt;0,Table17[[#This Row],[Correct]]/Table17[[#This Row],['# of Questions]],0)</f>
        <v>0</v>
      </c>
    </row>
    <row r="36" spans="1:6">
      <c r="B36" s="56" t="s">
        <v>94</v>
      </c>
      <c r="C36" s="91">
        <f>IF(PTKEY=2, COUNTIFS(Table45[Skill], "="&amp;Table17[[#This Row],[Passport to Advanced Mathematics]], Table45[Raw Score], "=1") + COUNTIFS(Table413[Skill],  "="&amp;Table17[[#This Row],[Passport to Advanced Mathematics]], Table413[Raw Score], "=1"), IF(PTKEY=3, COUNTIFS(Table31231[Skill], "="&amp;Table17[[#This Row],[Passport to Advanced Mathematics]], Table31231[Raw Score], "=1") + COUNTIFS(Table41332[Skill],  "="&amp;Table17[[#This Row],[Passport to Advanced Mathematics]], Table41332[Raw Score], "=1"), IF(PTKEY=4, COUNTIFS(Table3123134[Skill], "="&amp;Table17[[#This Row],[Passport to Advanced Mathematics]],Table3123134[Raw Score], "=1") + COUNTIFS(Table4133235[Skill],  "="&amp;Table17[[#This Row],[Passport to Advanced Mathematics]],Table4133235[Raw Score], "=1"), IF(PTKEY=5, COUNTIFS(Table312313438[Skill], "="&amp;Table17[[#This Row],[Passport to Advanced Mathematics]],Table312313438[Raw Score], "=1") + COUNTIFS(Table413323539[Skill],  "="&amp;Table17[[#This Row],[Passport to Advanced Mathematics]],Table413323539[Raw Score], "=1"), IF(PTKEY=6, COUNTIFS(Table4554[Skill], "="&amp;Table17[[#This Row],[Passport to Advanced Mathematics]],Table4554[Raw Score], "=1") + COUNTIFS(Table41352[Skill],  "="&amp;Table17[[#This Row],[Passport to Advanced Mathematics]],Table41352[Raw Score], "=1"),IF(PTKEY=7, COUNTIFS(Table455458[Skill], "="&amp;Table17[[#This Row],[Passport to Advanced Mathematics]],Table455458[Raw Score], "=1") + COUNTIFS(Table4135256[Skill],  "="&amp;Table17[[#This Row],[Passport to Advanced Mathematics]],Table4135256[Raw Score], "=1"),0))))))</f>
        <v>0</v>
      </c>
      <c r="D36" s="91">
        <f>IF(PTKEY=2, COUNTIFS(Table45[Skill], "="&amp;Table17[[#This Row],[Passport to Advanced Mathematics]], Table45[Raw Score], "=0") + COUNTIFS(Table413[Skill],  "="&amp;Table17[[#This Row],[Passport to Advanced Mathematics]], Table413[Raw Score], "=0"), IF(PTKEY=3, COUNTIFS(Table31231[Skill], "="&amp;Table17[[#This Row],[Passport to Advanced Mathematics]], Table31231[Raw Score], "=0") + COUNTIFS(Table41332[Skill],  "="&amp;Table17[[#This Row],[Passport to Advanced Mathematics]], Table41332[Raw Score], "=0"), IF(PTKEY=4, COUNTIFS(Table3123134[Skill], "="&amp;Table17[[#This Row],[Passport to Advanced Mathematics]],Table3123134[Raw Score], "=0") + COUNTIFS(Table4133235[Skill],  "="&amp;Table17[[#This Row],[Passport to Advanced Mathematics]],Table4133235[Raw Score], "=0"), IF(PTKEY=5, COUNTIFS(Table312313438[Skill], "="&amp;Table17[[#This Row],[Passport to Advanced Mathematics]],Table312313438[Raw Score], "=0") + COUNTIFS(Table413323539[Skill],  "="&amp;Table17[[#This Row],[Passport to Advanced Mathematics]],Table413323539[Raw Score], "=0"), IF(PTKEY=6, COUNTIFS(Table4554[Skill], "="&amp;Table17[[#This Row],[Passport to Advanced Mathematics]],Table4554[Raw Score], "=0") + COUNTIFS(Table41352[Skill],  "="&amp;Table17[[#This Row],[Passport to Advanced Mathematics]],Table41352[Raw Score], "=0"), IF(PTKEY=7, COUNTIFS(Table455458[Skill], "="&amp;Table17[[#This Row],[Passport to Advanced Mathematics]],Table455458[Raw Score], "=0") + COUNTIFS(Table4135256[Skill],  "="&amp;Table17[[#This Row],[Passport to Advanced Mathematics]],Table4135256[Raw Score], "=0"),0))))))</f>
        <v>0</v>
      </c>
      <c r="E36" s="93">
        <f>Table17[[#This Row],[Correct]]+Table17[[#This Row],[Incorrect/Blank]]</f>
        <v>0</v>
      </c>
      <c r="F36" s="63">
        <f>IF(Table17[[#This Row],['# of Questions]]&lt;&gt;0,Table17[[#This Row],[Correct]]/Table17[[#This Row],['# of Questions]],0)</f>
        <v>0</v>
      </c>
    </row>
    <row r="37" spans="1:6" ht="15.75" thickBot="1">
      <c r="B37" s="108" t="s">
        <v>95</v>
      </c>
      <c r="C37" s="97">
        <f>IF(PTKEY=2, COUNTIFS(Table45[Skill], "="&amp;Table17[[#This Row],[Passport to Advanced Mathematics]], Table45[Raw Score], "=1") + COUNTIFS(Table413[Skill],  "="&amp;Table17[[#This Row],[Passport to Advanced Mathematics]], Table413[Raw Score], "=1"), IF(PTKEY=3, COUNTIFS(Table31231[Skill], "="&amp;Table17[[#This Row],[Passport to Advanced Mathematics]], Table31231[Raw Score], "=1") + COUNTIFS(Table41332[Skill],  "="&amp;Table17[[#This Row],[Passport to Advanced Mathematics]], Table41332[Raw Score], "=1"), IF(PTKEY=4, COUNTIFS(Table3123134[Skill], "="&amp;Table17[[#This Row],[Passport to Advanced Mathematics]],Table3123134[Raw Score], "=1") + COUNTIFS(Table4133235[Skill],  "="&amp;Table17[[#This Row],[Passport to Advanced Mathematics]],Table4133235[Raw Score], "=1"), IF(PTKEY=5, COUNTIFS(Table312313438[Skill], "="&amp;Table17[[#This Row],[Passport to Advanced Mathematics]],Table312313438[Raw Score], "=1") + COUNTIFS(Table413323539[Skill],  "="&amp;Table17[[#This Row],[Passport to Advanced Mathematics]],Table413323539[Raw Score], "=1"), IF(PTKEY=6, COUNTIFS(Table4554[Skill], "="&amp;Table17[[#This Row],[Passport to Advanced Mathematics]],Table4554[Raw Score], "=1") + COUNTIFS(Table41352[Skill],  "="&amp;Table17[[#This Row],[Passport to Advanced Mathematics]],Table41352[Raw Score], "=1"),IF(PTKEY=7, COUNTIFS(Table455458[Skill], "="&amp;Table17[[#This Row],[Passport to Advanced Mathematics]],Table455458[Raw Score], "=1") + COUNTIFS(Table4135256[Skill],  "="&amp;Table17[[#This Row],[Passport to Advanced Mathematics]],Table4135256[Raw Score], "=1"),0))))))</f>
        <v>0</v>
      </c>
      <c r="D37" s="97">
        <f>IF(PTKEY=2, COUNTIFS(Table45[Skill], "="&amp;Table17[[#This Row],[Passport to Advanced Mathematics]], Table45[Raw Score], "=0") + COUNTIFS(Table413[Skill],  "="&amp;Table17[[#This Row],[Passport to Advanced Mathematics]], Table413[Raw Score], "=0"), IF(PTKEY=3, COUNTIFS(Table31231[Skill], "="&amp;Table17[[#This Row],[Passport to Advanced Mathematics]], Table31231[Raw Score], "=0") + COUNTIFS(Table41332[Skill],  "="&amp;Table17[[#This Row],[Passport to Advanced Mathematics]], Table41332[Raw Score], "=0"), IF(PTKEY=4, COUNTIFS(Table3123134[Skill], "="&amp;Table17[[#This Row],[Passport to Advanced Mathematics]],Table3123134[Raw Score], "=0") + COUNTIFS(Table4133235[Skill],  "="&amp;Table17[[#This Row],[Passport to Advanced Mathematics]],Table4133235[Raw Score], "=0"), IF(PTKEY=5, COUNTIFS(Table312313438[Skill], "="&amp;Table17[[#This Row],[Passport to Advanced Mathematics]],Table312313438[Raw Score], "=0") + COUNTIFS(Table413323539[Skill],  "="&amp;Table17[[#This Row],[Passport to Advanced Mathematics]],Table413323539[Raw Score], "=0"), IF(PTKEY=6, COUNTIFS(Table4554[Skill], "="&amp;Table17[[#This Row],[Passport to Advanced Mathematics]],Table4554[Raw Score], "=0") + COUNTIFS(Table41352[Skill],  "="&amp;Table17[[#This Row],[Passport to Advanced Mathematics]],Table41352[Raw Score], "=0"), IF(PTKEY=7, COUNTIFS(Table455458[Skill], "="&amp;Table17[[#This Row],[Passport to Advanced Mathematics]],Table455458[Raw Score], "=0") + COUNTIFS(Table4135256[Skill],  "="&amp;Table17[[#This Row],[Passport to Advanced Mathematics]],Table4135256[Raw Score], "=0"),0))))))</f>
        <v>0</v>
      </c>
      <c r="E37" s="97">
        <f>Table17[[#This Row],[Correct]]+Table17[[#This Row],[Incorrect/Blank]]</f>
        <v>0</v>
      </c>
      <c r="F37" s="98">
        <f>IF(Table17[[#This Row],['# of Questions]]&lt;&gt;0,Table17[[#This Row],[Correct]]/Table17[[#This Row],['# of Questions]],0)</f>
        <v>0</v>
      </c>
    </row>
    <row r="38" spans="1:6">
      <c r="B38" s="64" t="s">
        <v>51</v>
      </c>
      <c r="C38" s="65">
        <f>SUM(C24:C37)</f>
        <v>0</v>
      </c>
      <c r="D38" s="65">
        <f>SUM(D24:D37)</f>
        <v>16</v>
      </c>
      <c r="E38" s="65">
        <f>SUM(E24:E37)</f>
        <v>16</v>
      </c>
      <c r="F38" s="66">
        <f>IF(Table17[[#This Row],['# of Questions]]&lt;&gt;0,Table17[[#This Row],[Correct]]/Table17[[#This Row],['# of Questions]],0)</f>
        <v>0</v>
      </c>
    </row>
    <row r="39" spans="1:6">
      <c r="B39" s="67"/>
      <c r="C39" s="67"/>
      <c r="D39" s="67"/>
      <c r="E39" s="67"/>
      <c r="F39" s="67"/>
    </row>
    <row r="40" spans="1:6">
      <c r="B40" s="67"/>
      <c r="C40" s="67"/>
      <c r="D40" s="67"/>
      <c r="E40" s="67"/>
      <c r="F40" s="67"/>
    </row>
    <row r="41" spans="1:6">
      <c r="B41" s="67"/>
      <c r="C41" s="67"/>
      <c r="D41" s="67"/>
      <c r="E41" s="67"/>
      <c r="F41" s="67"/>
    </row>
    <row r="42" spans="1:6">
      <c r="B42" s="67"/>
      <c r="C42" s="67"/>
      <c r="D42" s="67"/>
      <c r="E42" s="67"/>
      <c r="F42" s="67"/>
    </row>
    <row r="43" spans="1:6">
      <c r="B43" s="67"/>
      <c r="C43" s="67"/>
      <c r="D43" s="67"/>
      <c r="E43" s="67"/>
      <c r="F43" s="67"/>
    </row>
    <row r="44" spans="1:6">
      <c r="B44" s="67"/>
      <c r="C44" s="67"/>
      <c r="D44" s="67"/>
      <c r="E44" s="67"/>
      <c r="F44" s="67"/>
    </row>
    <row r="45" spans="1:6">
      <c r="B45" s="67"/>
      <c r="C45" s="67"/>
      <c r="D45" s="67"/>
      <c r="E45" s="67"/>
      <c r="F45" s="67"/>
    </row>
    <row r="46" spans="1:6">
      <c r="B46" s="67"/>
      <c r="C46" s="67"/>
      <c r="D46" s="67"/>
      <c r="E46" s="67"/>
      <c r="F46" s="67"/>
    </row>
    <row r="47" spans="1:6">
      <c r="B47" s="67"/>
      <c r="C47" s="67"/>
      <c r="D47" s="67"/>
      <c r="E47" s="67"/>
      <c r="F47" s="67"/>
    </row>
    <row r="48" spans="1:6" ht="30" customHeight="1">
      <c r="A48" s="61"/>
      <c r="B48" s="315" t="s">
        <v>116</v>
      </c>
      <c r="C48" s="315"/>
      <c r="D48" s="315"/>
      <c r="E48" s="315"/>
      <c r="F48" s="315"/>
    </row>
    <row r="49" spans="2:6">
      <c r="B49" s="67"/>
      <c r="C49" s="67"/>
      <c r="D49" s="67"/>
      <c r="E49" s="67"/>
      <c r="F49" s="67"/>
    </row>
    <row r="50" spans="2:6">
      <c r="B50" s="67"/>
      <c r="C50" s="67"/>
      <c r="D50" s="67"/>
      <c r="E50" s="67"/>
      <c r="F50" s="67"/>
    </row>
    <row r="51" spans="2:6">
      <c r="B51" s="67"/>
      <c r="C51" s="67"/>
      <c r="D51" s="67"/>
      <c r="E51" s="67"/>
      <c r="F51" s="67"/>
    </row>
    <row r="52" spans="2:6" s="92" customFormat="1" ht="33" customHeight="1">
      <c r="B52" s="58" t="s">
        <v>96</v>
      </c>
      <c r="C52" s="110" t="s">
        <v>47</v>
      </c>
      <c r="D52" s="110" t="s">
        <v>124</v>
      </c>
      <c r="E52" s="110" t="s">
        <v>127</v>
      </c>
      <c r="F52" s="110" t="s">
        <v>50</v>
      </c>
    </row>
    <row r="53" spans="2:6">
      <c r="B53" s="56" t="s">
        <v>97</v>
      </c>
      <c r="C53" s="91">
        <f>IF(PTKEY=2, COUNTIFS(Table45[Skill], "="&amp;Table18[[#This Row],[Problem Solving and Data Analysis]], Table45[Raw Score], "=1") + COUNTIFS(Table413[Skill],  "="&amp;Table18[[#This Row],[Problem Solving and Data Analysis]], Table413[Raw Score], "=1"), IF(PTKEY=3, COUNTIFS(Table31231[Skill], "="&amp;Table18[[#This Row],[Problem Solving and Data Analysis]], Table31231[Raw Score], "=1") + COUNTIFS(Table41332[Skill],  "="&amp;Table18[[#This Row],[Problem Solving and Data Analysis]], Table41332[Raw Score], "=1"), IF(PTKEY=4, COUNTIFS(Table3123134[Skill], "="&amp;Table18[[#This Row],[Problem Solving and Data Analysis]],Table3123134[Raw Score], "=1") + COUNTIFS(Table4133235[Skill],  "="&amp;Table18[[#This Row],[Problem Solving and Data Analysis]],Table4133235[Raw Score], "=1"), IF(PTKEY=5, COUNTIFS(Table312313438[Skill], "="&amp;Table18[[#This Row],[Problem Solving and Data Analysis]],Table312313438[Raw Score], "=1") + COUNTIFS(Table413323539[Skill],  "="&amp;Table18[[#This Row],[Problem Solving and Data Analysis]],Table413323539[Raw Score], "=1"),IF(PTKEY=6, COUNTIFS(Table4554[Skill], "="&amp;Table18[[#This Row],[Problem Solving and Data Analysis]],Table4554[Raw Score], "=1") + COUNTIFS(Table41352[Skill],  "="&amp;Table18[[#This Row],[Problem Solving and Data Analysis]],Table41352[Raw Score], "=1"),IF(PTKEY=7, COUNTIFS(Table455458[Skill], "="&amp;Table18[[#This Row],[Problem Solving and Data Analysis]],Table455458[Raw Score], "=1") + COUNTIFS(Table4135256[Skill],  "="&amp;Table18[[#This Row],[Problem Solving and Data Analysis]],Table4135256[Raw Score], "=1"),0))))))</f>
        <v>0</v>
      </c>
      <c r="D53" s="91">
        <f>IF(PTKEY=2, COUNTIFS(Table45[Skill], "="&amp;Table18[[#This Row],[Problem Solving and Data Analysis]], Table45[Raw Score], "=0") + COUNTIFS(Table413[Skill],  "="&amp;Table18[[#This Row],[Problem Solving and Data Analysis]], Table413[Raw Score], "=0"), IF(PTKEY=3, COUNTIFS(Table31231[Skill], "="&amp;Table18[[#This Row],[Problem Solving and Data Analysis]], Table31231[Raw Score], "=0") + COUNTIFS(Table41332[Skill],  "="&amp;Table18[[#This Row],[Problem Solving and Data Analysis]], Table41332[Raw Score], "=0"), IF(PTKEY=4, COUNTIFS(Table3123134[Skill], "="&amp;Table18[[#This Row],[Problem Solving and Data Analysis]],Table3123134[Raw Score], "=0") + COUNTIFS(Table4133235[Skill],  "="&amp;Table18[[#This Row],[Problem Solving and Data Analysis]],Table4133235[Raw Score], "=0"), IF(PTKEY=5, COUNTIFS(Table312313438[Skill], "="&amp;Table18[[#This Row],[Problem Solving and Data Analysis]],Table312313438[Raw Score], "=0") + COUNTIFS(Table413323539[Skill],  "="&amp;Table18[[#This Row],[Problem Solving and Data Analysis]],Table413323539[Raw Score], "=0"),IF(PTKEY=6, COUNTIFS(Table4554[Skill], "="&amp;Table18[[#This Row],[Problem Solving and Data Analysis]],Table4554[Raw Score], "=0") + COUNTIFS(Table41352[Skill],  "="&amp;Table18[[#This Row],[Problem Solving and Data Analysis]],Table41352[Raw Score], "=0"),IF(PTKEY=7, COUNTIFS(Table455458[Skill], "="&amp;Table18[[#This Row],[Problem Solving and Data Analysis]],Table455458[Raw Score], "=0") + COUNTIFS(Table4135256[Skill],  "="&amp;Table18[[#This Row],[Problem Solving and Data Analysis]],Table4135256[Raw Score], "=0"),0))))))</f>
        <v>1</v>
      </c>
      <c r="E53" s="35">
        <f>Table18[[#This Row],[Correct]]+Table18[[#This Row],[Incorrect/Blank]]</f>
        <v>1</v>
      </c>
      <c r="F53" s="63">
        <f>IF(Table18[[#This Row],['# of Questions]]&lt;&gt;0,Table18[[#This Row],[Correct]]/Table18[[#This Row],['# of Questions]],0)</f>
        <v>0</v>
      </c>
    </row>
    <row r="54" spans="2:6">
      <c r="B54" s="60" t="s">
        <v>98</v>
      </c>
      <c r="C54" s="91">
        <f>IF(PTKEY=2, COUNTIFS(Table45[Skill], "="&amp;Table18[[#This Row],[Problem Solving and Data Analysis]], Table45[Raw Score], "=1") + COUNTIFS(Table413[Skill],  "="&amp;Table18[[#This Row],[Problem Solving and Data Analysis]], Table413[Raw Score], "=1"), IF(PTKEY=3, COUNTIFS(Table31231[Skill], "="&amp;Table18[[#This Row],[Problem Solving and Data Analysis]], Table31231[Raw Score], "=1") + COUNTIFS(Table41332[Skill],  "="&amp;Table18[[#This Row],[Problem Solving and Data Analysis]], Table41332[Raw Score], "=1"), IF(PTKEY=4, COUNTIFS(Table3123134[Skill], "="&amp;Table18[[#This Row],[Problem Solving and Data Analysis]],Table3123134[Raw Score], "=1") + COUNTIFS(Table4133235[Skill],  "="&amp;Table18[[#This Row],[Problem Solving and Data Analysis]],Table4133235[Raw Score], "=1"), IF(PTKEY=5, COUNTIFS(Table312313438[Skill], "="&amp;Table18[[#This Row],[Problem Solving and Data Analysis]],Table312313438[Raw Score], "=1") + COUNTIFS(Table413323539[Skill],  "="&amp;Table18[[#This Row],[Problem Solving and Data Analysis]],Table413323539[Raw Score], "=1"),IF(PTKEY=6, COUNTIFS(Table4554[Skill], "="&amp;Table18[[#This Row],[Problem Solving and Data Analysis]],Table4554[Raw Score], "=1") + COUNTIFS(Table41352[Skill],  "="&amp;Table18[[#This Row],[Problem Solving and Data Analysis]],Table41352[Raw Score], "=1"),IF(PTKEY=7, COUNTIFS(Table455458[Skill], "="&amp;Table18[[#This Row],[Problem Solving and Data Analysis]],Table455458[Raw Score], "=1") + COUNTIFS(Table4135256[Skill],  "="&amp;Table18[[#This Row],[Problem Solving and Data Analysis]],Table4135256[Raw Score], "=1"),0))))))</f>
        <v>0</v>
      </c>
      <c r="D54" s="91">
        <f>IF(PTKEY=2, COUNTIFS(Table45[Skill], "="&amp;Table18[[#This Row],[Problem Solving and Data Analysis]], Table45[Raw Score], "=0") + COUNTIFS(Table413[Skill],  "="&amp;Table18[[#This Row],[Problem Solving and Data Analysis]], Table413[Raw Score], "=0"), IF(PTKEY=3, COUNTIFS(Table31231[Skill], "="&amp;Table18[[#This Row],[Problem Solving and Data Analysis]], Table31231[Raw Score], "=0") + COUNTIFS(Table41332[Skill],  "="&amp;Table18[[#This Row],[Problem Solving and Data Analysis]], Table41332[Raw Score], "=0"), IF(PTKEY=4, COUNTIFS(Table3123134[Skill], "="&amp;Table18[[#This Row],[Problem Solving and Data Analysis]],Table3123134[Raw Score], "=0") + COUNTIFS(Table4133235[Skill],  "="&amp;Table18[[#This Row],[Problem Solving and Data Analysis]],Table4133235[Raw Score], "=0"), IF(PTKEY=5, COUNTIFS(Table312313438[Skill], "="&amp;Table18[[#This Row],[Problem Solving and Data Analysis]],Table312313438[Raw Score], "=0") + COUNTIFS(Table413323539[Skill],  "="&amp;Table18[[#This Row],[Problem Solving and Data Analysis]],Table413323539[Raw Score], "=0"),IF(PTKEY=6, COUNTIFS(Table4554[Skill], "="&amp;Table18[[#This Row],[Problem Solving and Data Analysis]],Table4554[Raw Score], "=0") + COUNTIFS(Table41352[Skill],  "="&amp;Table18[[#This Row],[Problem Solving and Data Analysis]],Table41352[Raw Score], "=0"),IF(PTKEY=7, COUNTIFS(Table455458[Skill], "="&amp;Table18[[#This Row],[Problem Solving and Data Analysis]],Table455458[Raw Score], "=0") + COUNTIFS(Table4135256[Skill],  "="&amp;Table18[[#This Row],[Problem Solving and Data Analysis]],Table4135256[Raw Score], "=0"),0))))))</f>
        <v>2</v>
      </c>
      <c r="E54" s="93">
        <f>Table18[[#This Row],[Correct]]+Table18[[#This Row],[Incorrect/Blank]]</f>
        <v>2</v>
      </c>
      <c r="F54" s="63">
        <f>IF(Table18[[#This Row],['# of Questions]]&lt;&gt;0,Table18[[#This Row],[Correct]]/Table18[[#This Row],['# of Questions]],0)</f>
        <v>0</v>
      </c>
    </row>
    <row r="55" spans="2:6">
      <c r="B55" s="56" t="s">
        <v>99</v>
      </c>
      <c r="C55" s="91">
        <f>IF(PTKEY=2, COUNTIFS(Table45[Skill], "="&amp;Table18[[#This Row],[Problem Solving and Data Analysis]], Table45[Raw Score], "=1") + COUNTIFS(Table413[Skill],  "="&amp;Table18[[#This Row],[Problem Solving and Data Analysis]], Table413[Raw Score], "=1"), IF(PTKEY=3, COUNTIFS(Table31231[Skill], "="&amp;Table18[[#This Row],[Problem Solving and Data Analysis]], Table31231[Raw Score], "=1") + COUNTIFS(Table41332[Skill],  "="&amp;Table18[[#This Row],[Problem Solving and Data Analysis]], Table41332[Raw Score], "=1"), IF(PTKEY=4, COUNTIFS(Table3123134[Skill], "="&amp;Table18[[#This Row],[Problem Solving and Data Analysis]],Table3123134[Raw Score], "=1") + COUNTIFS(Table4133235[Skill],  "="&amp;Table18[[#This Row],[Problem Solving and Data Analysis]],Table4133235[Raw Score], "=1"), IF(PTKEY=5, COUNTIFS(Table312313438[Skill], "="&amp;Table18[[#This Row],[Problem Solving and Data Analysis]],Table312313438[Raw Score], "=1") + COUNTIFS(Table413323539[Skill],  "="&amp;Table18[[#This Row],[Problem Solving and Data Analysis]],Table413323539[Raw Score], "=1"),IF(PTKEY=6, COUNTIFS(Table4554[Skill], "="&amp;Table18[[#This Row],[Problem Solving and Data Analysis]],Table4554[Raw Score], "=1") + COUNTIFS(Table41352[Skill],  "="&amp;Table18[[#This Row],[Problem Solving and Data Analysis]],Table41352[Raw Score], "=1"),IF(PTKEY=7, COUNTIFS(Table455458[Skill], "="&amp;Table18[[#This Row],[Problem Solving and Data Analysis]],Table455458[Raw Score], "=1") + COUNTIFS(Table4135256[Skill],  "="&amp;Table18[[#This Row],[Problem Solving and Data Analysis]],Table4135256[Raw Score], "=1"),0))))))</f>
        <v>0</v>
      </c>
      <c r="D55" s="91">
        <f>IF(PTKEY=2, COUNTIFS(Table45[Skill], "="&amp;Table18[[#This Row],[Problem Solving and Data Analysis]], Table45[Raw Score], "=0") + COUNTIFS(Table413[Skill],  "="&amp;Table18[[#This Row],[Problem Solving and Data Analysis]], Table413[Raw Score], "=0"), IF(PTKEY=3, COUNTIFS(Table31231[Skill], "="&amp;Table18[[#This Row],[Problem Solving and Data Analysis]], Table31231[Raw Score], "=0") + COUNTIFS(Table41332[Skill],  "="&amp;Table18[[#This Row],[Problem Solving and Data Analysis]], Table41332[Raw Score], "=0"), IF(PTKEY=4, COUNTIFS(Table3123134[Skill], "="&amp;Table18[[#This Row],[Problem Solving and Data Analysis]],Table3123134[Raw Score], "=0") + COUNTIFS(Table4133235[Skill],  "="&amp;Table18[[#This Row],[Problem Solving and Data Analysis]],Table4133235[Raw Score], "=0"), IF(PTKEY=5, COUNTIFS(Table312313438[Skill], "="&amp;Table18[[#This Row],[Problem Solving and Data Analysis]],Table312313438[Raw Score], "=0") + COUNTIFS(Table413323539[Skill],  "="&amp;Table18[[#This Row],[Problem Solving and Data Analysis]],Table413323539[Raw Score], "=0"),IF(PTKEY=6, COUNTIFS(Table4554[Skill], "="&amp;Table18[[#This Row],[Problem Solving and Data Analysis]],Table4554[Raw Score], "=0") + COUNTIFS(Table41352[Skill],  "="&amp;Table18[[#This Row],[Problem Solving and Data Analysis]],Table41352[Raw Score], "=0"),IF(PTKEY=7, COUNTIFS(Table455458[Skill], "="&amp;Table18[[#This Row],[Problem Solving and Data Analysis]],Table455458[Raw Score], "=0") + COUNTIFS(Table4135256[Skill],  "="&amp;Table18[[#This Row],[Problem Solving and Data Analysis]],Table4135256[Raw Score], "=0"),0))))))</f>
        <v>1</v>
      </c>
      <c r="E55" s="93">
        <f>Table18[[#This Row],[Correct]]+Table18[[#This Row],[Incorrect/Blank]]</f>
        <v>1</v>
      </c>
      <c r="F55" s="63">
        <f>IF(Table18[[#This Row],['# of Questions]]&lt;&gt;0,Table18[[#This Row],[Correct]]/Table18[[#This Row],['# of Questions]],0)</f>
        <v>0</v>
      </c>
    </row>
    <row r="56" spans="2:6">
      <c r="B56" s="60" t="s">
        <v>100</v>
      </c>
      <c r="C56" s="91">
        <f>IF(PTKEY=2, COUNTIFS(Table45[Skill], "="&amp;Table18[[#This Row],[Problem Solving and Data Analysis]], Table45[Raw Score], "=1") + COUNTIFS(Table413[Skill],  "="&amp;Table18[[#This Row],[Problem Solving and Data Analysis]], Table413[Raw Score], "=1"), IF(PTKEY=3, COUNTIFS(Table31231[Skill], "="&amp;Table18[[#This Row],[Problem Solving and Data Analysis]], Table31231[Raw Score], "=1") + COUNTIFS(Table41332[Skill],  "="&amp;Table18[[#This Row],[Problem Solving and Data Analysis]], Table41332[Raw Score], "=1"), IF(PTKEY=4, COUNTIFS(Table3123134[Skill], "="&amp;Table18[[#This Row],[Problem Solving and Data Analysis]],Table3123134[Raw Score], "=1") + COUNTIFS(Table4133235[Skill],  "="&amp;Table18[[#This Row],[Problem Solving and Data Analysis]],Table4133235[Raw Score], "=1"), IF(PTKEY=5, COUNTIFS(Table312313438[Skill], "="&amp;Table18[[#This Row],[Problem Solving and Data Analysis]],Table312313438[Raw Score], "=1") + COUNTIFS(Table413323539[Skill],  "="&amp;Table18[[#This Row],[Problem Solving and Data Analysis]],Table413323539[Raw Score], "=1"),IF(PTKEY=6, COUNTIFS(Table4554[Skill], "="&amp;Table18[[#This Row],[Problem Solving and Data Analysis]],Table4554[Raw Score], "=1") + COUNTIFS(Table41352[Skill],  "="&amp;Table18[[#This Row],[Problem Solving and Data Analysis]],Table41352[Raw Score], "=1"),IF(PTKEY=7, COUNTIFS(Table455458[Skill], "="&amp;Table18[[#This Row],[Problem Solving and Data Analysis]],Table455458[Raw Score], "=1") + COUNTIFS(Table4135256[Skill],  "="&amp;Table18[[#This Row],[Problem Solving and Data Analysis]],Table4135256[Raw Score], "=1"),0))))))</f>
        <v>0</v>
      </c>
      <c r="D56" s="91">
        <f>IF(PTKEY=2, COUNTIFS(Table45[Skill], "="&amp;Table18[[#This Row],[Problem Solving and Data Analysis]], Table45[Raw Score], "=0") + COUNTIFS(Table413[Skill],  "="&amp;Table18[[#This Row],[Problem Solving and Data Analysis]], Table413[Raw Score], "=0"), IF(PTKEY=3, COUNTIFS(Table31231[Skill], "="&amp;Table18[[#This Row],[Problem Solving and Data Analysis]], Table31231[Raw Score], "=0") + COUNTIFS(Table41332[Skill],  "="&amp;Table18[[#This Row],[Problem Solving and Data Analysis]], Table41332[Raw Score], "=0"), IF(PTKEY=4, COUNTIFS(Table3123134[Skill], "="&amp;Table18[[#This Row],[Problem Solving and Data Analysis]],Table3123134[Raw Score], "=0") + COUNTIFS(Table4133235[Skill],  "="&amp;Table18[[#This Row],[Problem Solving and Data Analysis]],Table4133235[Raw Score], "=0"), IF(PTKEY=5, COUNTIFS(Table312313438[Skill], "="&amp;Table18[[#This Row],[Problem Solving and Data Analysis]],Table312313438[Raw Score], "=0") + COUNTIFS(Table413323539[Skill],  "="&amp;Table18[[#This Row],[Problem Solving and Data Analysis]],Table413323539[Raw Score], "=0"),IF(PTKEY=6, COUNTIFS(Table4554[Skill], "="&amp;Table18[[#This Row],[Problem Solving and Data Analysis]],Table4554[Raw Score], "=0") + COUNTIFS(Table41352[Skill],  "="&amp;Table18[[#This Row],[Problem Solving and Data Analysis]],Table41352[Raw Score], "=0"),IF(PTKEY=7, COUNTIFS(Table455458[Skill], "="&amp;Table18[[#This Row],[Problem Solving and Data Analysis]],Table455458[Raw Score], "=0") + COUNTIFS(Table4135256[Skill],  "="&amp;Table18[[#This Row],[Problem Solving and Data Analysis]],Table4135256[Raw Score], "=0"),0))))))</f>
        <v>4</v>
      </c>
      <c r="E56" s="93">
        <f>Table18[[#This Row],[Correct]]+Table18[[#This Row],[Incorrect/Blank]]</f>
        <v>4</v>
      </c>
      <c r="F56" s="63">
        <f>IF(Table18[[#This Row],['# of Questions]]&lt;&gt;0,Table18[[#This Row],[Correct]]/Table18[[#This Row],['# of Questions]],0)</f>
        <v>0</v>
      </c>
    </row>
    <row r="57" spans="2:6">
      <c r="B57" s="56" t="s">
        <v>101</v>
      </c>
      <c r="C57" s="91">
        <f>IF(PTKEY=2, COUNTIFS(Table45[Skill], "="&amp;Table18[[#This Row],[Problem Solving and Data Analysis]], Table45[Raw Score], "=1") + COUNTIFS(Table413[Skill],  "="&amp;Table18[[#This Row],[Problem Solving and Data Analysis]], Table413[Raw Score], "=1"), IF(PTKEY=3, COUNTIFS(Table31231[Skill], "="&amp;Table18[[#This Row],[Problem Solving and Data Analysis]], Table31231[Raw Score], "=1") + COUNTIFS(Table41332[Skill],  "="&amp;Table18[[#This Row],[Problem Solving and Data Analysis]], Table41332[Raw Score], "=1"), IF(PTKEY=4, COUNTIFS(Table3123134[Skill], "="&amp;Table18[[#This Row],[Problem Solving and Data Analysis]],Table3123134[Raw Score], "=1") + COUNTIFS(Table4133235[Skill],  "="&amp;Table18[[#This Row],[Problem Solving and Data Analysis]],Table4133235[Raw Score], "=1"), IF(PTKEY=5, COUNTIFS(Table312313438[Skill], "="&amp;Table18[[#This Row],[Problem Solving and Data Analysis]],Table312313438[Raw Score], "=1") + COUNTIFS(Table413323539[Skill],  "="&amp;Table18[[#This Row],[Problem Solving and Data Analysis]],Table413323539[Raw Score], "=1"),IF(PTKEY=6, COUNTIFS(Table4554[Skill], "="&amp;Table18[[#This Row],[Problem Solving and Data Analysis]],Table4554[Raw Score], "=1") + COUNTIFS(Table41352[Skill],  "="&amp;Table18[[#This Row],[Problem Solving and Data Analysis]],Table41352[Raw Score], "=1"),IF(PTKEY=7, COUNTIFS(Table455458[Skill], "="&amp;Table18[[#This Row],[Problem Solving and Data Analysis]],Table455458[Raw Score], "=1") + COUNTIFS(Table4135256[Skill],  "="&amp;Table18[[#This Row],[Problem Solving and Data Analysis]],Table4135256[Raw Score], "=1"),0))))))</f>
        <v>0</v>
      </c>
      <c r="D57" s="91">
        <f>IF(PTKEY=2, COUNTIFS(Table45[Skill], "="&amp;Table18[[#This Row],[Problem Solving and Data Analysis]], Table45[Raw Score], "=0") + COUNTIFS(Table413[Skill],  "="&amp;Table18[[#This Row],[Problem Solving and Data Analysis]], Table413[Raw Score], "=0"), IF(PTKEY=3, COUNTIFS(Table31231[Skill], "="&amp;Table18[[#This Row],[Problem Solving and Data Analysis]], Table31231[Raw Score], "=0") + COUNTIFS(Table41332[Skill],  "="&amp;Table18[[#This Row],[Problem Solving and Data Analysis]], Table41332[Raw Score], "=0"), IF(PTKEY=4, COUNTIFS(Table3123134[Skill], "="&amp;Table18[[#This Row],[Problem Solving and Data Analysis]],Table3123134[Raw Score], "=0") + COUNTIFS(Table4133235[Skill],  "="&amp;Table18[[#This Row],[Problem Solving and Data Analysis]],Table4133235[Raw Score], "=0"), IF(PTKEY=5, COUNTIFS(Table312313438[Skill], "="&amp;Table18[[#This Row],[Problem Solving and Data Analysis]],Table312313438[Raw Score], "=0") + COUNTIFS(Table413323539[Skill],  "="&amp;Table18[[#This Row],[Problem Solving and Data Analysis]],Table413323539[Raw Score], "=0"),IF(PTKEY=6, COUNTIFS(Table4554[Skill], "="&amp;Table18[[#This Row],[Problem Solving and Data Analysis]],Table4554[Raw Score], "=0") + COUNTIFS(Table41352[Skill],  "="&amp;Table18[[#This Row],[Problem Solving and Data Analysis]],Table41352[Raw Score], "=0"),IF(PTKEY=7, COUNTIFS(Table455458[Skill], "="&amp;Table18[[#This Row],[Problem Solving and Data Analysis]],Table455458[Raw Score], "=0") + COUNTIFS(Table4135256[Skill],  "="&amp;Table18[[#This Row],[Problem Solving and Data Analysis]],Table4135256[Raw Score], "=0"),0))))))</f>
        <v>1</v>
      </c>
      <c r="E57" s="93">
        <f>Table18[[#This Row],[Correct]]+Table18[[#This Row],[Incorrect/Blank]]</f>
        <v>1</v>
      </c>
      <c r="F57" s="63">
        <f>IF(Table18[[#This Row],['# of Questions]]&lt;&gt;0,Table18[[#This Row],[Correct]]/Table18[[#This Row],['# of Questions]],0)</f>
        <v>0</v>
      </c>
    </row>
    <row r="58" spans="2:6">
      <c r="B58" s="60" t="s">
        <v>102</v>
      </c>
      <c r="C58" s="91">
        <f>IF(PTKEY=2, COUNTIFS(Table45[Skill], "="&amp;Table18[[#This Row],[Problem Solving and Data Analysis]], Table45[Raw Score], "=1") + COUNTIFS(Table413[Skill],  "="&amp;Table18[[#This Row],[Problem Solving and Data Analysis]], Table413[Raw Score], "=1"), IF(PTKEY=3, COUNTIFS(Table31231[Skill], "="&amp;Table18[[#This Row],[Problem Solving and Data Analysis]], Table31231[Raw Score], "=1") + COUNTIFS(Table41332[Skill],  "="&amp;Table18[[#This Row],[Problem Solving and Data Analysis]], Table41332[Raw Score], "=1"), IF(PTKEY=4, COUNTIFS(Table3123134[Skill], "="&amp;Table18[[#This Row],[Problem Solving and Data Analysis]],Table3123134[Raw Score], "=1") + COUNTIFS(Table4133235[Skill],  "="&amp;Table18[[#This Row],[Problem Solving and Data Analysis]],Table4133235[Raw Score], "=1"), IF(PTKEY=5, COUNTIFS(Table312313438[Skill], "="&amp;Table18[[#This Row],[Problem Solving and Data Analysis]],Table312313438[Raw Score], "=1") + COUNTIFS(Table413323539[Skill],  "="&amp;Table18[[#This Row],[Problem Solving and Data Analysis]],Table413323539[Raw Score], "=1"),IF(PTKEY=6, COUNTIFS(Table4554[Skill], "="&amp;Table18[[#This Row],[Problem Solving and Data Analysis]],Table4554[Raw Score], "=1") + COUNTIFS(Table41352[Skill],  "="&amp;Table18[[#This Row],[Problem Solving and Data Analysis]],Table41352[Raw Score], "=1"),IF(PTKEY=7, COUNTIFS(Table455458[Skill], "="&amp;Table18[[#This Row],[Problem Solving and Data Analysis]],Table455458[Raw Score], "=1") + COUNTIFS(Table4135256[Skill],  "="&amp;Table18[[#This Row],[Problem Solving and Data Analysis]],Table4135256[Raw Score], "=1"),0))))))</f>
        <v>0</v>
      </c>
      <c r="D58" s="91">
        <f>IF(PTKEY=2, COUNTIFS(Table45[Skill], "="&amp;Table18[[#This Row],[Problem Solving and Data Analysis]], Table45[Raw Score], "=0") + COUNTIFS(Table413[Skill],  "="&amp;Table18[[#This Row],[Problem Solving and Data Analysis]], Table413[Raw Score], "=0"), IF(PTKEY=3, COUNTIFS(Table31231[Skill], "="&amp;Table18[[#This Row],[Problem Solving and Data Analysis]], Table31231[Raw Score], "=0") + COUNTIFS(Table41332[Skill],  "="&amp;Table18[[#This Row],[Problem Solving and Data Analysis]], Table41332[Raw Score], "=0"), IF(PTKEY=4, COUNTIFS(Table3123134[Skill], "="&amp;Table18[[#This Row],[Problem Solving and Data Analysis]],Table3123134[Raw Score], "=0") + COUNTIFS(Table4133235[Skill],  "="&amp;Table18[[#This Row],[Problem Solving and Data Analysis]],Table4133235[Raw Score], "=0"), IF(PTKEY=5, COUNTIFS(Table312313438[Skill], "="&amp;Table18[[#This Row],[Problem Solving and Data Analysis]],Table312313438[Raw Score], "=0") + COUNTIFS(Table413323539[Skill],  "="&amp;Table18[[#This Row],[Problem Solving and Data Analysis]],Table413323539[Raw Score], "=0"),IF(PTKEY=6, COUNTIFS(Table4554[Skill], "="&amp;Table18[[#This Row],[Problem Solving and Data Analysis]],Table4554[Raw Score], "=0") + COUNTIFS(Table41352[Skill],  "="&amp;Table18[[#This Row],[Problem Solving and Data Analysis]],Table41352[Raw Score], "=0"),IF(PTKEY=7, COUNTIFS(Table455458[Skill], "="&amp;Table18[[#This Row],[Problem Solving and Data Analysis]],Table455458[Raw Score], "=0") + COUNTIFS(Table4135256[Skill],  "="&amp;Table18[[#This Row],[Problem Solving and Data Analysis]],Table4135256[Raw Score], "=0"),0))))))</f>
        <v>2</v>
      </c>
      <c r="E58" s="93">
        <f>Table18[[#This Row],[Correct]]+Table18[[#This Row],[Incorrect/Blank]]</f>
        <v>2</v>
      </c>
      <c r="F58" s="63">
        <f>IF(Table18[[#This Row],['# of Questions]]&lt;&gt;0,Table18[[#This Row],[Correct]]/Table18[[#This Row],['# of Questions]],0)</f>
        <v>0</v>
      </c>
    </row>
    <row r="59" spans="2:6">
      <c r="B59" s="56" t="s">
        <v>103</v>
      </c>
      <c r="C59" s="91">
        <f>IF(PTKEY=2, COUNTIFS(Table45[Skill], "="&amp;Table18[[#This Row],[Problem Solving and Data Analysis]], Table45[Raw Score], "=1") + COUNTIFS(Table413[Skill],  "="&amp;Table18[[#This Row],[Problem Solving and Data Analysis]], Table413[Raw Score], "=1"), IF(PTKEY=3, COUNTIFS(Table31231[Skill], "="&amp;Table18[[#This Row],[Problem Solving and Data Analysis]], Table31231[Raw Score], "=1") + COUNTIFS(Table41332[Skill],  "="&amp;Table18[[#This Row],[Problem Solving and Data Analysis]], Table41332[Raw Score], "=1"), IF(PTKEY=4, COUNTIFS(Table3123134[Skill], "="&amp;Table18[[#This Row],[Problem Solving and Data Analysis]],Table3123134[Raw Score], "=1") + COUNTIFS(Table4133235[Skill],  "="&amp;Table18[[#This Row],[Problem Solving and Data Analysis]],Table4133235[Raw Score], "=1"), IF(PTKEY=5, COUNTIFS(Table312313438[Skill], "="&amp;Table18[[#This Row],[Problem Solving and Data Analysis]],Table312313438[Raw Score], "=1") + COUNTIFS(Table413323539[Skill],  "="&amp;Table18[[#This Row],[Problem Solving and Data Analysis]],Table413323539[Raw Score], "=1"),IF(PTKEY=6, COUNTIFS(Table4554[Skill], "="&amp;Table18[[#This Row],[Problem Solving and Data Analysis]],Table4554[Raw Score], "=1") + COUNTIFS(Table41352[Skill],  "="&amp;Table18[[#This Row],[Problem Solving and Data Analysis]],Table41352[Raw Score], "=1"),IF(PTKEY=7, COUNTIFS(Table455458[Skill], "="&amp;Table18[[#This Row],[Problem Solving and Data Analysis]],Table455458[Raw Score], "=1") + COUNTIFS(Table4135256[Skill],  "="&amp;Table18[[#This Row],[Problem Solving and Data Analysis]],Table4135256[Raw Score], "=1"),0))))))</f>
        <v>0</v>
      </c>
      <c r="D59" s="91">
        <f>IF(PTKEY=2, COUNTIFS(Table45[Skill], "="&amp;Table18[[#This Row],[Problem Solving and Data Analysis]], Table45[Raw Score], "=0") + COUNTIFS(Table413[Skill],  "="&amp;Table18[[#This Row],[Problem Solving and Data Analysis]], Table413[Raw Score], "=0"), IF(PTKEY=3, COUNTIFS(Table31231[Skill], "="&amp;Table18[[#This Row],[Problem Solving and Data Analysis]], Table31231[Raw Score], "=0") + COUNTIFS(Table41332[Skill],  "="&amp;Table18[[#This Row],[Problem Solving and Data Analysis]], Table41332[Raw Score], "=0"), IF(PTKEY=4, COUNTIFS(Table3123134[Skill], "="&amp;Table18[[#This Row],[Problem Solving and Data Analysis]],Table3123134[Raw Score], "=0") + COUNTIFS(Table4133235[Skill],  "="&amp;Table18[[#This Row],[Problem Solving and Data Analysis]],Table4133235[Raw Score], "=0"), IF(PTKEY=5, COUNTIFS(Table312313438[Skill], "="&amp;Table18[[#This Row],[Problem Solving and Data Analysis]],Table312313438[Raw Score], "=0") + COUNTIFS(Table413323539[Skill],  "="&amp;Table18[[#This Row],[Problem Solving and Data Analysis]],Table413323539[Raw Score], "=0"),IF(PTKEY=6, COUNTIFS(Table4554[Skill], "="&amp;Table18[[#This Row],[Problem Solving and Data Analysis]],Table4554[Raw Score], "=0") + COUNTIFS(Table41352[Skill],  "="&amp;Table18[[#This Row],[Problem Solving and Data Analysis]],Table41352[Raw Score], "=0"),IF(PTKEY=7, COUNTIFS(Table455458[Skill], "="&amp;Table18[[#This Row],[Problem Solving and Data Analysis]],Table455458[Raw Score], "=0") + COUNTIFS(Table4135256[Skill],  "="&amp;Table18[[#This Row],[Problem Solving and Data Analysis]],Table4135256[Raw Score], "=0"),0))))))</f>
        <v>0</v>
      </c>
      <c r="E59" s="93">
        <f>Table18[[#This Row],[Correct]]+Table18[[#This Row],[Incorrect/Blank]]</f>
        <v>0</v>
      </c>
      <c r="F59" s="63">
        <f>IF(Table18[[#This Row],['# of Questions]]&lt;&gt;0,Table18[[#This Row],[Correct]]/Table18[[#This Row],['# of Questions]],0)</f>
        <v>0</v>
      </c>
    </row>
    <row r="60" spans="2:6">
      <c r="B60" s="60" t="s">
        <v>104</v>
      </c>
      <c r="C60" s="91">
        <f>IF(PTKEY=2, COUNTIFS(Table45[Skill], "="&amp;Table18[[#This Row],[Problem Solving and Data Analysis]], Table45[Raw Score], "=1") + COUNTIFS(Table413[Skill],  "="&amp;Table18[[#This Row],[Problem Solving and Data Analysis]], Table413[Raw Score], "=1"), IF(PTKEY=3, COUNTIFS(Table31231[Skill], "="&amp;Table18[[#This Row],[Problem Solving and Data Analysis]], Table31231[Raw Score], "=1") + COUNTIFS(Table41332[Skill],  "="&amp;Table18[[#This Row],[Problem Solving and Data Analysis]], Table41332[Raw Score], "=1"), IF(PTKEY=4, COUNTIFS(Table3123134[Skill], "="&amp;Table18[[#This Row],[Problem Solving and Data Analysis]],Table3123134[Raw Score], "=1") + COUNTIFS(Table4133235[Skill],  "="&amp;Table18[[#This Row],[Problem Solving and Data Analysis]],Table4133235[Raw Score], "=1"), IF(PTKEY=5, COUNTIFS(Table312313438[Skill], "="&amp;Table18[[#This Row],[Problem Solving and Data Analysis]],Table312313438[Raw Score], "=1") + COUNTIFS(Table413323539[Skill],  "="&amp;Table18[[#This Row],[Problem Solving and Data Analysis]],Table413323539[Raw Score], "=1"),IF(PTKEY=6, COUNTIFS(Table4554[Skill], "="&amp;Table18[[#This Row],[Problem Solving and Data Analysis]],Table4554[Raw Score], "=1") + COUNTIFS(Table41352[Skill],  "="&amp;Table18[[#This Row],[Problem Solving and Data Analysis]],Table41352[Raw Score], "=1"),IF(PTKEY=7, COUNTIFS(Table455458[Skill], "="&amp;Table18[[#This Row],[Problem Solving and Data Analysis]],Table455458[Raw Score], "=1") + COUNTIFS(Table4135256[Skill],  "="&amp;Table18[[#This Row],[Problem Solving and Data Analysis]],Table4135256[Raw Score], "=1"),0))))))</f>
        <v>0</v>
      </c>
      <c r="D60" s="91">
        <f>IF(PTKEY=2, COUNTIFS(Table45[Skill], "="&amp;Table18[[#This Row],[Problem Solving and Data Analysis]], Table45[Raw Score], "=0") + COUNTIFS(Table413[Skill],  "="&amp;Table18[[#This Row],[Problem Solving and Data Analysis]], Table413[Raw Score], "=0"), IF(PTKEY=3, COUNTIFS(Table31231[Skill], "="&amp;Table18[[#This Row],[Problem Solving and Data Analysis]], Table31231[Raw Score], "=0") + COUNTIFS(Table41332[Skill],  "="&amp;Table18[[#This Row],[Problem Solving and Data Analysis]], Table41332[Raw Score], "=0"), IF(PTKEY=4, COUNTIFS(Table3123134[Skill], "="&amp;Table18[[#This Row],[Problem Solving and Data Analysis]],Table3123134[Raw Score], "=0") + COUNTIFS(Table4133235[Skill],  "="&amp;Table18[[#This Row],[Problem Solving and Data Analysis]],Table4133235[Raw Score], "=0"), IF(PTKEY=5, COUNTIFS(Table312313438[Skill], "="&amp;Table18[[#This Row],[Problem Solving and Data Analysis]],Table312313438[Raw Score], "=0") + COUNTIFS(Table413323539[Skill],  "="&amp;Table18[[#This Row],[Problem Solving and Data Analysis]],Table413323539[Raw Score], "=0"),IF(PTKEY=6, COUNTIFS(Table4554[Skill], "="&amp;Table18[[#This Row],[Problem Solving and Data Analysis]],Table4554[Raw Score], "=0") + COUNTIFS(Table41352[Skill],  "="&amp;Table18[[#This Row],[Problem Solving and Data Analysis]],Table41352[Raw Score], "=0"),IF(PTKEY=7, COUNTIFS(Table455458[Skill], "="&amp;Table18[[#This Row],[Problem Solving and Data Analysis]],Table455458[Raw Score], "=0") + COUNTIFS(Table4135256[Skill],  "="&amp;Table18[[#This Row],[Problem Solving and Data Analysis]],Table4135256[Raw Score], "=0"),0))))))</f>
        <v>4</v>
      </c>
      <c r="E60" s="93">
        <f>Table18[[#This Row],[Correct]]+Table18[[#This Row],[Incorrect/Blank]]</f>
        <v>4</v>
      </c>
      <c r="F60" s="63">
        <f>IF(Table18[[#This Row],['# of Questions]]&lt;&gt;0,Table18[[#This Row],[Correct]]/Table18[[#This Row],['# of Questions]],0)</f>
        <v>0</v>
      </c>
    </row>
    <row r="61" spans="2:6">
      <c r="B61" s="56" t="s">
        <v>105</v>
      </c>
      <c r="C61" s="91">
        <f>IF(PTKEY=2, COUNTIFS(Table45[Skill], "="&amp;Table18[[#This Row],[Problem Solving and Data Analysis]], Table45[Raw Score], "=1") + COUNTIFS(Table413[Skill],  "="&amp;Table18[[#This Row],[Problem Solving and Data Analysis]], Table413[Raw Score], "=1"), IF(PTKEY=3, COUNTIFS(Table31231[Skill], "="&amp;Table18[[#This Row],[Problem Solving and Data Analysis]], Table31231[Raw Score], "=1") + COUNTIFS(Table41332[Skill],  "="&amp;Table18[[#This Row],[Problem Solving and Data Analysis]], Table41332[Raw Score], "=1"), IF(PTKEY=4, COUNTIFS(Table3123134[Skill], "="&amp;Table18[[#This Row],[Problem Solving and Data Analysis]],Table3123134[Raw Score], "=1") + COUNTIFS(Table4133235[Skill],  "="&amp;Table18[[#This Row],[Problem Solving and Data Analysis]],Table4133235[Raw Score], "=1"), IF(PTKEY=5, COUNTIFS(Table312313438[Skill], "="&amp;Table18[[#This Row],[Problem Solving and Data Analysis]],Table312313438[Raw Score], "=1") + COUNTIFS(Table413323539[Skill],  "="&amp;Table18[[#This Row],[Problem Solving and Data Analysis]],Table413323539[Raw Score], "=1"),IF(PTKEY=6, COUNTIFS(Table4554[Skill], "="&amp;Table18[[#This Row],[Problem Solving and Data Analysis]],Table4554[Raw Score], "=1") + COUNTIFS(Table41352[Skill],  "="&amp;Table18[[#This Row],[Problem Solving and Data Analysis]],Table41352[Raw Score], "=1"),IF(PTKEY=7, COUNTIFS(Table455458[Skill], "="&amp;Table18[[#This Row],[Problem Solving and Data Analysis]],Table455458[Raw Score], "=1") + COUNTIFS(Table4135256[Skill],  "="&amp;Table18[[#This Row],[Problem Solving and Data Analysis]],Table4135256[Raw Score], "=1"),0))))))</f>
        <v>0</v>
      </c>
      <c r="D61" s="91">
        <f>IF(PTKEY=2, COUNTIFS(Table45[Skill], "="&amp;Table18[[#This Row],[Problem Solving and Data Analysis]], Table45[Raw Score], "=0") + COUNTIFS(Table413[Skill],  "="&amp;Table18[[#This Row],[Problem Solving and Data Analysis]], Table413[Raw Score], "=0"), IF(PTKEY=3, COUNTIFS(Table31231[Skill], "="&amp;Table18[[#This Row],[Problem Solving and Data Analysis]], Table31231[Raw Score], "=0") + COUNTIFS(Table41332[Skill],  "="&amp;Table18[[#This Row],[Problem Solving and Data Analysis]], Table41332[Raw Score], "=0"), IF(PTKEY=4, COUNTIFS(Table3123134[Skill], "="&amp;Table18[[#This Row],[Problem Solving and Data Analysis]],Table3123134[Raw Score], "=0") + COUNTIFS(Table4133235[Skill],  "="&amp;Table18[[#This Row],[Problem Solving and Data Analysis]],Table4133235[Raw Score], "=0"), IF(PTKEY=5, COUNTIFS(Table312313438[Skill], "="&amp;Table18[[#This Row],[Problem Solving and Data Analysis]],Table312313438[Raw Score], "=0") + COUNTIFS(Table413323539[Skill],  "="&amp;Table18[[#This Row],[Problem Solving and Data Analysis]],Table413323539[Raw Score], "=0"),IF(PTKEY=6, COUNTIFS(Table4554[Skill], "="&amp;Table18[[#This Row],[Problem Solving and Data Analysis]],Table4554[Raw Score], "=0") + COUNTIFS(Table41352[Skill],  "="&amp;Table18[[#This Row],[Problem Solving and Data Analysis]],Table41352[Raw Score], "=0"),IF(PTKEY=7, COUNTIFS(Table455458[Skill], "="&amp;Table18[[#This Row],[Problem Solving and Data Analysis]],Table455458[Raw Score], "=0") + COUNTIFS(Table4135256[Skill],  "="&amp;Table18[[#This Row],[Problem Solving and Data Analysis]],Table4135256[Raw Score], "=0"),0))))))</f>
        <v>0</v>
      </c>
      <c r="E61" s="93">
        <f>Table18[[#This Row],[Correct]]+Table18[[#This Row],[Incorrect/Blank]]</f>
        <v>0</v>
      </c>
      <c r="F61" s="63">
        <f>IF(Table18[[#This Row],['# of Questions]]&lt;&gt;0,Table18[[#This Row],[Correct]]/Table18[[#This Row],['# of Questions]],0)</f>
        <v>0</v>
      </c>
    </row>
    <row r="62" spans="2:6" ht="15.75" thickBot="1">
      <c r="B62" s="108" t="s">
        <v>106</v>
      </c>
      <c r="C62" s="97">
        <f>IF(PTKEY=2, COUNTIFS(Table45[Skill], "="&amp;Table18[[#This Row],[Problem Solving and Data Analysis]], Table45[Raw Score], "=1") + COUNTIFS(Table413[Skill],  "="&amp;Table18[[#This Row],[Problem Solving and Data Analysis]], Table413[Raw Score], "=1"), IF(PTKEY=3, COUNTIFS(Table31231[Skill], "="&amp;Table18[[#This Row],[Problem Solving and Data Analysis]], Table31231[Raw Score], "=1") + COUNTIFS(Table41332[Skill],  "="&amp;Table18[[#This Row],[Problem Solving and Data Analysis]], Table41332[Raw Score], "=1"), IF(PTKEY=4, COUNTIFS(Table3123134[Skill], "="&amp;Table18[[#This Row],[Problem Solving and Data Analysis]],Table3123134[Raw Score], "=1") + COUNTIFS(Table4133235[Skill],  "="&amp;Table18[[#This Row],[Problem Solving and Data Analysis]],Table4133235[Raw Score], "=1"), IF(PTKEY=5, COUNTIFS(Table312313438[Skill], "="&amp;Table18[[#This Row],[Problem Solving and Data Analysis]],Table312313438[Raw Score], "=1") + COUNTIFS(Table413323539[Skill],  "="&amp;Table18[[#This Row],[Problem Solving and Data Analysis]],Table413323539[Raw Score], "=1"),IF(PTKEY=6, COUNTIFS(Table4554[Skill], "="&amp;Table18[[#This Row],[Problem Solving and Data Analysis]],Table4554[Raw Score], "=1") + COUNTIFS(Table41352[Skill],  "="&amp;Table18[[#This Row],[Problem Solving and Data Analysis]],Table41352[Raw Score], "=1"),IF(PTKEY=7, COUNTIFS(Table455458[Skill], "="&amp;Table18[[#This Row],[Problem Solving and Data Analysis]],Table455458[Raw Score], "=1") + COUNTIFS(Table4135256[Skill],  "="&amp;Table18[[#This Row],[Problem Solving and Data Analysis]],Table4135256[Raw Score], "=1"),0))))))</f>
        <v>0</v>
      </c>
      <c r="D62" s="97">
        <f>IF(PTKEY=2, COUNTIFS(Table45[Skill], "="&amp;Table18[[#This Row],[Problem Solving and Data Analysis]], Table45[Raw Score], "=0") + COUNTIFS(Table413[Skill],  "="&amp;Table18[[#This Row],[Problem Solving and Data Analysis]], Table413[Raw Score], "=0"), IF(PTKEY=3, COUNTIFS(Table31231[Skill], "="&amp;Table18[[#This Row],[Problem Solving and Data Analysis]], Table31231[Raw Score], "=0") + COUNTIFS(Table41332[Skill],  "="&amp;Table18[[#This Row],[Problem Solving and Data Analysis]], Table41332[Raw Score], "=0"), IF(PTKEY=4, COUNTIFS(Table3123134[Skill], "="&amp;Table18[[#This Row],[Problem Solving and Data Analysis]],Table3123134[Raw Score], "=0") + COUNTIFS(Table4133235[Skill],  "="&amp;Table18[[#This Row],[Problem Solving and Data Analysis]],Table4133235[Raw Score], "=0"), IF(PTKEY=5, COUNTIFS(Table312313438[Skill], "="&amp;Table18[[#This Row],[Problem Solving and Data Analysis]],Table312313438[Raw Score], "=0") + COUNTIFS(Table413323539[Skill],  "="&amp;Table18[[#This Row],[Problem Solving and Data Analysis]],Table413323539[Raw Score], "=0"),IF(PTKEY=6, COUNTIFS(Table4554[Skill], "="&amp;Table18[[#This Row],[Problem Solving and Data Analysis]],Table4554[Raw Score], "=0") + COUNTIFS(Table41352[Skill],  "="&amp;Table18[[#This Row],[Problem Solving and Data Analysis]],Table41352[Raw Score], "=0"),IF(PTKEY=7, COUNTIFS(Table455458[Skill], "="&amp;Table18[[#This Row],[Problem Solving and Data Analysis]],Table455458[Raw Score], "=0") + COUNTIFS(Table4135256[Skill],  "="&amp;Table18[[#This Row],[Problem Solving and Data Analysis]],Table4135256[Raw Score], "=0"),0))))))</f>
        <v>2</v>
      </c>
      <c r="E62" s="97">
        <f>Table18[[#This Row],[Correct]]+Table18[[#This Row],[Incorrect/Blank]]</f>
        <v>2</v>
      </c>
      <c r="F62" s="98">
        <f>IF(Table18[[#This Row],['# of Questions]]&lt;&gt;0,Table18[[#This Row],[Correct]]/Table18[[#This Row],['# of Questions]],0)</f>
        <v>0</v>
      </c>
    </row>
    <row r="63" spans="2:6">
      <c r="B63" s="109" t="s">
        <v>51</v>
      </c>
      <c r="C63" s="65">
        <f t="shared" ref="C63" si="0">SUM(C53:C62)</f>
        <v>0</v>
      </c>
      <c r="D63" s="65">
        <f t="shared" ref="D63" si="1">SUM(D53:D62)</f>
        <v>17</v>
      </c>
      <c r="E63" s="65">
        <f t="shared" ref="E63" si="2">SUM(E53:E62)</f>
        <v>17</v>
      </c>
      <c r="F63" s="66">
        <f>IF(Table18[[#This Row],['# of Questions]]&lt;&gt;0,Table18[[#This Row],[Correct]]/Table18[[#This Row],['# of Questions]],0)</f>
        <v>0</v>
      </c>
    </row>
    <row r="64" spans="2:6">
      <c r="B64" s="67"/>
      <c r="C64" s="67"/>
      <c r="D64" s="67"/>
      <c r="E64" s="67"/>
      <c r="F64" s="67"/>
    </row>
    <row r="65" spans="2:6">
      <c r="B65" s="67"/>
      <c r="C65" s="67"/>
      <c r="D65" s="67"/>
      <c r="E65" s="67"/>
      <c r="F65" s="67"/>
    </row>
    <row r="66" spans="2:6" s="92" customFormat="1" ht="45">
      <c r="B66" s="58" t="s">
        <v>107</v>
      </c>
      <c r="C66" s="110" t="s">
        <v>47</v>
      </c>
      <c r="D66" s="110" t="s">
        <v>124</v>
      </c>
      <c r="E66" s="110" t="s">
        <v>127</v>
      </c>
      <c r="F66" s="110" t="s">
        <v>50</v>
      </c>
    </row>
    <row r="67" spans="2:6">
      <c r="B67" s="56" t="s">
        <v>108</v>
      </c>
      <c r="C67" s="91">
        <f>IF(PTKEY=2, COUNTIFS(Table45[Skill], "="&amp;Table19[[#This Row],[Additional Topics in Math]], Table45[Raw Score], "=1") + COUNTIFS(Table413[Skill],  "="&amp;Table19[[#This Row],[Additional Topics in Math]], Table413[Raw Score], "=1"), IF(PTKEY=3, COUNTIFS(Table31231[Skill], "="&amp;Table19[[#This Row],[Additional Topics in Math]], Table31231[Raw Score], "=1") + COUNTIFS(Table41332[Skill],  "="&amp;Table19[[#This Row],[Additional Topics in Math]], Table41332[Raw Score], "=1"), IF(PTKEY=4, COUNTIFS(Table3123134[Skill], "="&amp;Table19[[#This Row],[Additional Topics in Math]],Table3123134[Raw Score], "=1") + COUNTIFS(Table4133235[Skill],  "="&amp;Table19[[#This Row],[Additional Topics in Math]],Table4133235[Raw Score], "=1"), IF(PTKEY=5, COUNTIFS(Table312313438[Skill], "="&amp;Table19[[#This Row],[Additional Topics in Math]],Table312313438[Raw Score], "=1") + COUNTIFS(Table413323539[Skill],  "="&amp;Table19[[#This Row],[Additional Topics in Math]],Table413323539[Raw Score], "=1"),IF(PTKEY=6, COUNTIFS(Table4554[Skill], "="&amp;Table19[[#This Row],[Additional Topics in Math]],Table4554[Raw Score], "=1") + COUNTIFS(Table41352[Skill],  "="&amp;Table19[[#This Row],[Additional Topics in Math]],Table41352[Raw Score], "=1"),IF(PTKEY=7, COUNTIFS(Table455458[Skill], "="&amp;Table19[[#This Row],[Additional Topics in Math]],Table455458[Raw Score], "=1") + COUNTIFS(Table4135256[Skill],  "="&amp;Table19[[#This Row],[Additional Topics in Math]],Table4135256[Raw Score], "=1"),0))))))</f>
        <v>0</v>
      </c>
      <c r="D67" s="91">
        <f>IF(PTKEY=2, COUNTIFS(Table45[Skill], "="&amp;Table19[[#This Row],[Additional Topics in Math]], Table45[Raw Score], "=0") + COUNTIFS(Table413[Skill],  "="&amp;Table19[[#This Row],[Additional Topics in Math]], Table413[Raw Score], "=0"), IF(PTKEY=3, COUNTIFS(Table31231[Skill], "="&amp;Table19[[#This Row],[Additional Topics in Math]], Table31231[Raw Score], "=0") + COUNTIFS(Table41332[Skill],  "="&amp;Table19[[#This Row],[Additional Topics in Math]], Table41332[Raw Score], "=0"), IF(PTKEY=4, COUNTIFS(Table3123134[Skill], "="&amp;Table19[[#This Row],[Additional Topics in Math]],Table3123134[Raw Score], "=0") + COUNTIFS(Table4133235[Skill],  "="&amp;Table19[[#This Row],[Additional Topics in Math]],Table4133235[Raw Score], "=0"), IF(PTKEY=5, COUNTIFS(Table312313438[Skill], "="&amp;Table19[[#This Row],[Additional Topics in Math]],Table312313438[Raw Score], "=0") + COUNTIFS(Table413323539[Skill],  "="&amp;Table19[[#This Row],[Additional Topics in Math]],Table413323539[Raw Score], "=0"),IF(PTKEY=6, COUNTIFS(Table4554[Skill], "="&amp;Table19[[#This Row],[Additional Topics in Math]],Table4554[Raw Score], "=0") + COUNTIFS(Table41352[Skill],  "="&amp;Table19[[#This Row],[Additional Topics in Math]],Table41352[Raw Score], "=0"),IF(PTKEY=7, COUNTIFS(Table455458[Skill], "="&amp;Table19[[#This Row],[Additional Topics in Math]],Table455458[Raw Score], "=0") + COUNTIFS(Table4135256[Skill],  "="&amp;Table19[[#This Row],[Additional Topics in Math]],Table4135256[Raw Score], "=0"),0))))))</f>
        <v>1</v>
      </c>
      <c r="E67" s="35">
        <f>Table19[[#This Row],[Correct]]+Table19[[#This Row],[Incorrect/Blank]]</f>
        <v>1</v>
      </c>
      <c r="F67" s="63">
        <f>IF(Table19[[#This Row],['# of Questions]]&lt;&gt;0,Table19[[#This Row],[Correct]]/Table19[[#This Row],['# of Questions]],0)</f>
        <v>0</v>
      </c>
    </row>
    <row r="68" spans="2:6">
      <c r="B68" s="60" t="s">
        <v>109</v>
      </c>
      <c r="C68" s="91">
        <f>IF(PTKEY=2, COUNTIFS(Table45[Skill], "="&amp;Table19[[#This Row],[Additional Topics in Math]], Table45[Raw Score], "=1") + COUNTIFS(Table413[Skill],  "="&amp;Table19[[#This Row],[Additional Topics in Math]], Table413[Raw Score], "=1"), IF(PTKEY=3, COUNTIFS(Table31231[Skill], "="&amp;Table19[[#This Row],[Additional Topics in Math]], Table31231[Raw Score], "=1") + COUNTIFS(Table41332[Skill],  "="&amp;Table19[[#This Row],[Additional Topics in Math]], Table41332[Raw Score], "=1"), IF(PTKEY=4, COUNTIFS(Table3123134[Skill], "="&amp;Table19[[#This Row],[Additional Topics in Math]],Table3123134[Raw Score], "=1") + COUNTIFS(Table4133235[Skill],  "="&amp;Table19[[#This Row],[Additional Topics in Math]],Table4133235[Raw Score], "=1"), IF(PTKEY=5, COUNTIFS(Table312313438[Skill], "="&amp;Table19[[#This Row],[Additional Topics in Math]],Table312313438[Raw Score], "=1") + COUNTIFS(Table413323539[Skill],  "="&amp;Table19[[#This Row],[Additional Topics in Math]],Table413323539[Raw Score], "=1"),IF(PTKEY=6, COUNTIFS(Table4554[Skill], "="&amp;Table19[[#This Row],[Additional Topics in Math]],Table4554[Raw Score], "=1") + COUNTIFS(Table41352[Skill],  "="&amp;Table19[[#This Row],[Additional Topics in Math]],Table41352[Raw Score], "=1"),IF(PTKEY=7, COUNTIFS(Table455458[Skill], "="&amp;Table19[[#This Row],[Additional Topics in Math]],Table455458[Raw Score], "=1") + COUNTIFS(Table4135256[Skill],  "="&amp;Table19[[#This Row],[Additional Topics in Math]],Table4135256[Raw Score], "=1"),0))))))</f>
        <v>0</v>
      </c>
      <c r="D68" s="91">
        <f>IF(PTKEY=2, COUNTIFS(Table45[Skill], "="&amp;Table19[[#This Row],[Additional Topics in Math]], Table45[Raw Score], "=0") + COUNTIFS(Table413[Skill],  "="&amp;Table19[[#This Row],[Additional Topics in Math]], Table413[Raw Score], "=0"), IF(PTKEY=3, COUNTIFS(Table31231[Skill], "="&amp;Table19[[#This Row],[Additional Topics in Math]], Table31231[Raw Score], "=0") + COUNTIFS(Table41332[Skill],  "="&amp;Table19[[#This Row],[Additional Topics in Math]], Table41332[Raw Score], "=0"), IF(PTKEY=4, COUNTIFS(Table3123134[Skill], "="&amp;Table19[[#This Row],[Additional Topics in Math]],Table3123134[Raw Score], "=0") + COUNTIFS(Table4133235[Skill],  "="&amp;Table19[[#This Row],[Additional Topics in Math]],Table4133235[Raw Score], "=0"), IF(PTKEY=5, COUNTIFS(Table312313438[Skill], "="&amp;Table19[[#This Row],[Additional Topics in Math]],Table312313438[Raw Score], "=0") + COUNTIFS(Table413323539[Skill],  "="&amp;Table19[[#This Row],[Additional Topics in Math]],Table413323539[Raw Score], "=0"),IF(PTKEY=6, COUNTIFS(Table4554[Skill], "="&amp;Table19[[#This Row],[Additional Topics in Math]],Table4554[Raw Score], "=0") + COUNTIFS(Table41352[Skill],  "="&amp;Table19[[#This Row],[Additional Topics in Math]],Table41352[Raw Score], "=0"),IF(PTKEY=7, COUNTIFS(Table455458[Skill], "="&amp;Table19[[#This Row],[Additional Topics in Math]],Table455458[Raw Score], "=0") + COUNTIFS(Table4135256[Skill],  "="&amp;Table19[[#This Row],[Additional Topics in Math]],Table4135256[Raw Score], "=0"),0))))))</f>
        <v>0</v>
      </c>
      <c r="E68" s="93">
        <f>Table19[[#This Row],[Correct]]+Table19[[#This Row],[Incorrect/Blank]]</f>
        <v>0</v>
      </c>
      <c r="F68" s="63">
        <f>IF(Table19[[#This Row],['# of Questions]]&lt;&gt;0,Table19[[#This Row],[Correct]]/Table19[[#This Row],['# of Questions]],0)</f>
        <v>0</v>
      </c>
    </row>
    <row r="69" spans="2:6">
      <c r="B69" s="56" t="s">
        <v>110</v>
      </c>
      <c r="C69" s="91">
        <f>IF(PTKEY=2, COUNTIFS(Table45[Skill], "="&amp;Table19[[#This Row],[Additional Topics in Math]], Table45[Raw Score], "=1") + COUNTIFS(Table413[Skill],  "="&amp;Table19[[#This Row],[Additional Topics in Math]], Table413[Raw Score], "=1"), IF(PTKEY=3, COUNTIFS(Table31231[Skill], "="&amp;Table19[[#This Row],[Additional Topics in Math]], Table31231[Raw Score], "=1") + COUNTIFS(Table41332[Skill],  "="&amp;Table19[[#This Row],[Additional Topics in Math]], Table41332[Raw Score], "=1"), IF(PTKEY=4, COUNTIFS(Table3123134[Skill], "="&amp;Table19[[#This Row],[Additional Topics in Math]],Table3123134[Raw Score], "=1") + COUNTIFS(Table4133235[Skill],  "="&amp;Table19[[#This Row],[Additional Topics in Math]],Table4133235[Raw Score], "=1"), IF(PTKEY=5, COUNTIFS(Table312313438[Skill], "="&amp;Table19[[#This Row],[Additional Topics in Math]],Table312313438[Raw Score], "=1") + COUNTIFS(Table413323539[Skill],  "="&amp;Table19[[#This Row],[Additional Topics in Math]],Table413323539[Raw Score], "=1"),IF(PTKEY=6, COUNTIFS(Table4554[Skill], "="&amp;Table19[[#This Row],[Additional Topics in Math]],Table4554[Raw Score], "=1") + COUNTIFS(Table41352[Skill],  "="&amp;Table19[[#This Row],[Additional Topics in Math]],Table41352[Raw Score], "=1"),IF(PTKEY=7, COUNTIFS(Table455458[Skill], "="&amp;Table19[[#This Row],[Additional Topics in Math]],Table455458[Raw Score], "=1") + COUNTIFS(Table4135256[Skill],  "="&amp;Table19[[#This Row],[Additional Topics in Math]],Table4135256[Raw Score], "=1"),0))))))</f>
        <v>0</v>
      </c>
      <c r="D69" s="91">
        <f>IF(PTKEY=2, COUNTIFS(Table45[Skill], "="&amp;Table19[[#This Row],[Additional Topics in Math]], Table45[Raw Score], "=0") + COUNTIFS(Table413[Skill],  "="&amp;Table19[[#This Row],[Additional Topics in Math]], Table413[Raw Score], "=0"), IF(PTKEY=3, COUNTIFS(Table31231[Skill], "="&amp;Table19[[#This Row],[Additional Topics in Math]], Table31231[Raw Score], "=0") + COUNTIFS(Table41332[Skill],  "="&amp;Table19[[#This Row],[Additional Topics in Math]], Table41332[Raw Score], "=0"), IF(PTKEY=4, COUNTIFS(Table3123134[Skill], "="&amp;Table19[[#This Row],[Additional Topics in Math]],Table3123134[Raw Score], "=0") + COUNTIFS(Table4133235[Skill],  "="&amp;Table19[[#This Row],[Additional Topics in Math]],Table4133235[Raw Score], "=0"), IF(PTKEY=5, COUNTIFS(Table312313438[Skill], "="&amp;Table19[[#This Row],[Additional Topics in Math]],Table312313438[Raw Score], "=0") + COUNTIFS(Table413323539[Skill],  "="&amp;Table19[[#This Row],[Additional Topics in Math]],Table413323539[Raw Score], "=0"),IF(PTKEY=6, COUNTIFS(Table4554[Skill], "="&amp;Table19[[#This Row],[Additional Topics in Math]],Table4554[Raw Score], "=0") + COUNTIFS(Table41352[Skill],  "="&amp;Table19[[#This Row],[Additional Topics in Math]],Table41352[Raw Score], "=0"),IF(PTKEY=7, COUNTIFS(Table455458[Skill], "="&amp;Table19[[#This Row],[Additional Topics in Math]],Table455458[Raw Score], "=0") + COUNTIFS(Table4135256[Skill],  "="&amp;Table19[[#This Row],[Additional Topics in Math]],Table4135256[Raw Score], "=0"),0))))))</f>
        <v>1</v>
      </c>
      <c r="E69" s="93">
        <f>Table19[[#This Row],[Correct]]+Table19[[#This Row],[Incorrect/Blank]]</f>
        <v>1</v>
      </c>
      <c r="F69" s="63">
        <f>IF(Table19[[#This Row],['# of Questions]]&lt;&gt;0,Table19[[#This Row],[Correct]]/Table19[[#This Row],['# of Questions]],0)</f>
        <v>0</v>
      </c>
    </row>
    <row r="70" spans="2:6">
      <c r="B70" s="60" t="s">
        <v>111</v>
      </c>
      <c r="C70" s="91">
        <f>IF(PTKEY=2, COUNTIFS(Table45[Skill], "="&amp;Table19[[#This Row],[Additional Topics in Math]], Table45[Raw Score], "=1") + COUNTIFS(Table413[Skill],  "="&amp;Table19[[#This Row],[Additional Topics in Math]], Table413[Raw Score], "=1"), IF(PTKEY=3, COUNTIFS(Table31231[Skill], "="&amp;Table19[[#This Row],[Additional Topics in Math]], Table31231[Raw Score], "=1") + COUNTIFS(Table41332[Skill],  "="&amp;Table19[[#This Row],[Additional Topics in Math]], Table41332[Raw Score], "=1"), IF(PTKEY=4, COUNTIFS(Table3123134[Skill], "="&amp;Table19[[#This Row],[Additional Topics in Math]],Table3123134[Raw Score], "=1") + COUNTIFS(Table4133235[Skill],  "="&amp;Table19[[#This Row],[Additional Topics in Math]],Table4133235[Raw Score], "=1"), IF(PTKEY=5, COUNTIFS(Table312313438[Skill], "="&amp;Table19[[#This Row],[Additional Topics in Math]],Table312313438[Raw Score], "=1") + COUNTIFS(Table413323539[Skill],  "="&amp;Table19[[#This Row],[Additional Topics in Math]],Table413323539[Raw Score], "=1"),IF(PTKEY=6, COUNTIFS(Table4554[Skill], "="&amp;Table19[[#This Row],[Additional Topics in Math]],Table4554[Raw Score], "=1") + COUNTIFS(Table41352[Skill],  "="&amp;Table19[[#This Row],[Additional Topics in Math]],Table41352[Raw Score], "=1"),IF(PTKEY=7, COUNTIFS(Table455458[Skill], "="&amp;Table19[[#This Row],[Additional Topics in Math]],Table455458[Raw Score], "=1") + COUNTIFS(Table4135256[Skill],  "="&amp;Table19[[#This Row],[Additional Topics in Math]],Table4135256[Raw Score], "=1"),0))))))</f>
        <v>0</v>
      </c>
      <c r="D70" s="91">
        <f>IF(PTKEY=2, COUNTIFS(Table45[Skill], "="&amp;Table19[[#This Row],[Additional Topics in Math]], Table45[Raw Score], "=0") + COUNTIFS(Table413[Skill],  "="&amp;Table19[[#This Row],[Additional Topics in Math]], Table413[Raw Score], "=0"), IF(PTKEY=3, COUNTIFS(Table31231[Skill], "="&amp;Table19[[#This Row],[Additional Topics in Math]], Table31231[Raw Score], "=0") + COUNTIFS(Table41332[Skill],  "="&amp;Table19[[#This Row],[Additional Topics in Math]], Table41332[Raw Score], "=0"), IF(PTKEY=4, COUNTIFS(Table3123134[Skill], "="&amp;Table19[[#This Row],[Additional Topics in Math]],Table3123134[Raw Score], "=0") + COUNTIFS(Table4133235[Skill],  "="&amp;Table19[[#This Row],[Additional Topics in Math]],Table4133235[Raw Score], "=0"), IF(PTKEY=5, COUNTIFS(Table312313438[Skill], "="&amp;Table19[[#This Row],[Additional Topics in Math]],Table312313438[Raw Score], "=0") + COUNTIFS(Table413323539[Skill],  "="&amp;Table19[[#This Row],[Additional Topics in Math]],Table413323539[Raw Score], "=0"),IF(PTKEY=6, COUNTIFS(Table4554[Skill], "="&amp;Table19[[#This Row],[Additional Topics in Math]],Table4554[Raw Score], "=0") + COUNTIFS(Table41352[Skill],  "="&amp;Table19[[#This Row],[Additional Topics in Math]],Table41352[Raw Score], "=0"),IF(PTKEY=7, COUNTIFS(Table455458[Skill], "="&amp;Table19[[#This Row],[Additional Topics in Math]],Table455458[Raw Score], "=0") + COUNTIFS(Table4135256[Skill],  "="&amp;Table19[[#This Row],[Additional Topics in Math]],Table4135256[Raw Score], "=0"),0))))))</f>
        <v>1</v>
      </c>
      <c r="E70" s="93">
        <f>Table19[[#This Row],[Correct]]+Table19[[#This Row],[Incorrect/Blank]]</f>
        <v>1</v>
      </c>
      <c r="F70" s="63">
        <f>IF(Table19[[#This Row],['# of Questions]]&lt;&gt;0,Table19[[#This Row],[Correct]]/Table19[[#This Row],['# of Questions]],0)</f>
        <v>0</v>
      </c>
    </row>
    <row r="71" spans="2:6">
      <c r="B71" s="56" t="s">
        <v>112</v>
      </c>
      <c r="C71" s="91">
        <f>IF(PTKEY=2, COUNTIFS(Table45[Skill], "="&amp;Table19[[#This Row],[Additional Topics in Math]], Table45[Raw Score], "=1") + COUNTIFS(Table413[Skill],  "="&amp;Table19[[#This Row],[Additional Topics in Math]], Table413[Raw Score], "=1"), IF(PTKEY=3, COUNTIFS(Table31231[Skill], "="&amp;Table19[[#This Row],[Additional Topics in Math]], Table31231[Raw Score], "=1") + COUNTIFS(Table41332[Skill],  "="&amp;Table19[[#This Row],[Additional Topics in Math]], Table41332[Raw Score], "=1"), IF(PTKEY=4, COUNTIFS(Table3123134[Skill], "="&amp;Table19[[#This Row],[Additional Topics in Math]],Table3123134[Raw Score], "=1") + COUNTIFS(Table4133235[Skill],  "="&amp;Table19[[#This Row],[Additional Topics in Math]],Table4133235[Raw Score], "=1"), IF(PTKEY=5, COUNTIFS(Table312313438[Skill], "="&amp;Table19[[#This Row],[Additional Topics in Math]],Table312313438[Raw Score], "=1") + COUNTIFS(Table413323539[Skill],  "="&amp;Table19[[#This Row],[Additional Topics in Math]],Table413323539[Raw Score], "=1"),IF(PTKEY=6, COUNTIFS(Table4554[Skill], "="&amp;Table19[[#This Row],[Additional Topics in Math]],Table4554[Raw Score], "=1") + COUNTIFS(Table41352[Skill],  "="&amp;Table19[[#This Row],[Additional Topics in Math]],Table41352[Raw Score], "=1"),IF(PTKEY=7, COUNTIFS(Table455458[Skill], "="&amp;Table19[[#This Row],[Additional Topics in Math]],Table455458[Raw Score], "=1") + COUNTIFS(Table4135256[Skill],  "="&amp;Table19[[#This Row],[Additional Topics in Math]],Table4135256[Raw Score], "=1"),0))))))</f>
        <v>0</v>
      </c>
      <c r="D71" s="91">
        <f>IF(PTKEY=2, COUNTIFS(Table45[Skill], "="&amp;Table19[[#This Row],[Additional Topics in Math]], Table45[Raw Score], "=0") + COUNTIFS(Table413[Skill],  "="&amp;Table19[[#This Row],[Additional Topics in Math]], Table413[Raw Score], "=0"), IF(PTKEY=3, COUNTIFS(Table31231[Skill], "="&amp;Table19[[#This Row],[Additional Topics in Math]], Table31231[Raw Score], "=0") + COUNTIFS(Table41332[Skill],  "="&amp;Table19[[#This Row],[Additional Topics in Math]], Table41332[Raw Score], "=0"), IF(PTKEY=4, COUNTIFS(Table3123134[Skill], "="&amp;Table19[[#This Row],[Additional Topics in Math]],Table3123134[Raw Score], "=0") + COUNTIFS(Table4133235[Skill],  "="&amp;Table19[[#This Row],[Additional Topics in Math]],Table4133235[Raw Score], "=0"), IF(PTKEY=5, COUNTIFS(Table312313438[Skill], "="&amp;Table19[[#This Row],[Additional Topics in Math]],Table312313438[Raw Score], "=0") + COUNTIFS(Table413323539[Skill],  "="&amp;Table19[[#This Row],[Additional Topics in Math]],Table413323539[Raw Score], "=0"),IF(PTKEY=6, COUNTIFS(Table4554[Skill], "="&amp;Table19[[#This Row],[Additional Topics in Math]],Table4554[Raw Score], "=0") + COUNTIFS(Table41352[Skill],  "="&amp;Table19[[#This Row],[Additional Topics in Math]],Table41352[Raw Score], "=0"),IF(PTKEY=7, COUNTIFS(Table455458[Skill], "="&amp;Table19[[#This Row],[Additional Topics in Math]],Table455458[Raw Score], "=0") + COUNTIFS(Table4135256[Skill],  "="&amp;Table19[[#This Row],[Additional Topics in Math]],Table4135256[Raw Score], "=0"),0))))))</f>
        <v>1</v>
      </c>
      <c r="E71" s="93">
        <f>Table19[[#This Row],[Correct]]+Table19[[#This Row],[Incorrect/Blank]]</f>
        <v>1</v>
      </c>
      <c r="F71" s="63">
        <f>IF(Table19[[#This Row],['# of Questions]]&lt;&gt;0,Table19[[#This Row],[Correct]]/Table19[[#This Row],['# of Questions]],0)</f>
        <v>0</v>
      </c>
    </row>
    <row r="72" spans="2:6">
      <c r="B72" s="60" t="s">
        <v>113</v>
      </c>
      <c r="C72" s="91">
        <f>IF(PTKEY=2, COUNTIFS(Table45[Skill], "="&amp;Table19[[#This Row],[Additional Topics in Math]], Table45[Raw Score], "=1") + COUNTIFS(Table413[Skill],  "="&amp;Table19[[#This Row],[Additional Topics in Math]], Table413[Raw Score], "=1"), IF(PTKEY=3, COUNTIFS(Table31231[Skill], "="&amp;Table19[[#This Row],[Additional Topics in Math]], Table31231[Raw Score], "=1") + COUNTIFS(Table41332[Skill],  "="&amp;Table19[[#This Row],[Additional Topics in Math]], Table41332[Raw Score], "=1"), IF(PTKEY=4, COUNTIFS(Table3123134[Skill], "="&amp;Table19[[#This Row],[Additional Topics in Math]],Table3123134[Raw Score], "=1") + COUNTIFS(Table4133235[Skill],  "="&amp;Table19[[#This Row],[Additional Topics in Math]],Table4133235[Raw Score], "=1"), IF(PTKEY=5, COUNTIFS(Table312313438[Skill], "="&amp;Table19[[#This Row],[Additional Topics in Math]],Table312313438[Raw Score], "=1") + COUNTIFS(Table413323539[Skill],  "="&amp;Table19[[#This Row],[Additional Topics in Math]],Table413323539[Raw Score], "=1"),IF(PTKEY=6, COUNTIFS(Table4554[Skill], "="&amp;Table19[[#This Row],[Additional Topics in Math]],Table4554[Raw Score], "=1") + COUNTIFS(Table41352[Skill],  "="&amp;Table19[[#This Row],[Additional Topics in Math]],Table41352[Raw Score], "=1"),IF(PTKEY=7, COUNTIFS(Table455458[Skill], "="&amp;Table19[[#This Row],[Additional Topics in Math]],Table455458[Raw Score], "=1") + COUNTIFS(Table4135256[Skill],  "="&amp;Table19[[#This Row],[Additional Topics in Math]],Table4135256[Raw Score], "=1"),0))))))</f>
        <v>0</v>
      </c>
      <c r="D72" s="91">
        <f>IF(PTKEY=2, COUNTIFS(Table45[Skill], "="&amp;Table19[[#This Row],[Additional Topics in Math]], Table45[Raw Score], "=0") + COUNTIFS(Table413[Skill],  "="&amp;Table19[[#This Row],[Additional Topics in Math]], Table413[Raw Score], "=0"), IF(PTKEY=3, COUNTIFS(Table31231[Skill], "="&amp;Table19[[#This Row],[Additional Topics in Math]], Table31231[Raw Score], "=0") + COUNTIFS(Table41332[Skill],  "="&amp;Table19[[#This Row],[Additional Topics in Math]], Table41332[Raw Score], "=0"), IF(PTKEY=4, COUNTIFS(Table3123134[Skill], "="&amp;Table19[[#This Row],[Additional Topics in Math]],Table3123134[Raw Score], "=0") + COUNTIFS(Table4133235[Skill],  "="&amp;Table19[[#This Row],[Additional Topics in Math]],Table4133235[Raw Score], "=0"), IF(PTKEY=5, COUNTIFS(Table312313438[Skill], "="&amp;Table19[[#This Row],[Additional Topics in Math]],Table312313438[Raw Score], "=0") + COUNTIFS(Table413323539[Skill],  "="&amp;Table19[[#This Row],[Additional Topics in Math]],Table413323539[Raw Score], "=0"),IF(PTKEY=6, COUNTIFS(Table4554[Skill], "="&amp;Table19[[#This Row],[Additional Topics in Math]],Table4554[Raw Score], "=0") + COUNTIFS(Table41352[Skill],  "="&amp;Table19[[#This Row],[Additional Topics in Math]],Table41352[Raw Score], "=0"),IF(PTKEY=7, COUNTIFS(Table455458[Skill], "="&amp;Table19[[#This Row],[Additional Topics in Math]],Table455458[Raw Score], "=0") + COUNTIFS(Table4135256[Skill],  "="&amp;Table19[[#This Row],[Additional Topics in Math]],Table4135256[Raw Score], "=0"),0))))))</f>
        <v>0</v>
      </c>
      <c r="E72" s="93">
        <f>Table19[[#This Row],[Correct]]+Table19[[#This Row],[Incorrect/Blank]]</f>
        <v>0</v>
      </c>
      <c r="F72" s="63">
        <f>IF(Table19[[#This Row],['# of Questions]]&lt;&gt;0,Table19[[#This Row],[Correct]]/Table19[[#This Row],['# of Questions]],0)</f>
        <v>0</v>
      </c>
    </row>
    <row r="73" spans="2:6">
      <c r="B73" s="56" t="s">
        <v>114</v>
      </c>
      <c r="C73" s="91">
        <f>IF(PTKEY=2, COUNTIFS(Table45[Skill], "="&amp;Table19[[#This Row],[Additional Topics in Math]], Table45[Raw Score], "=1") + COUNTIFS(Table413[Skill],  "="&amp;Table19[[#This Row],[Additional Topics in Math]], Table413[Raw Score], "=1"), IF(PTKEY=3, COUNTIFS(Table31231[Skill], "="&amp;Table19[[#This Row],[Additional Topics in Math]], Table31231[Raw Score], "=1") + COUNTIFS(Table41332[Skill],  "="&amp;Table19[[#This Row],[Additional Topics in Math]], Table41332[Raw Score], "=1"), IF(PTKEY=4, COUNTIFS(Table3123134[Skill], "="&amp;Table19[[#This Row],[Additional Topics in Math]],Table3123134[Raw Score], "=1") + COUNTIFS(Table4133235[Skill],  "="&amp;Table19[[#This Row],[Additional Topics in Math]],Table4133235[Raw Score], "=1"), IF(PTKEY=5, COUNTIFS(Table312313438[Skill], "="&amp;Table19[[#This Row],[Additional Topics in Math]],Table312313438[Raw Score], "=1") + COUNTIFS(Table413323539[Skill],  "="&amp;Table19[[#This Row],[Additional Topics in Math]],Table413323539[Raw Score], "=1"),IF(PTKEY=6, COUNTIFS(Table4554[Skill], "="&amp;Table19[[#This Row],[Additional Topics in Math]],Table4554[Raw Score], "=1") + COUNTIFS(Table41352[Skill],  "="&amp;Table19[[#This Row],[Additional Topics in Math]],Table41352[Raw Score], "=1"),IF(PTKEY=7, COUNTIFS(Table455458[Skill], "="&amp;Table19[[#This Row],[Additional Topics in Math]],Table455458[Raw Score], "=1") + COUNTIFS(Table4135256[Skill],  "="&amp;Table19[[#This Row],[Additional Topics in Math]],Table4135256[Raw Score], "=1"),0))))))</f>
        <v>0</v>
      </c>
      <c r="D73" s="91">
        <f>IF(PTKEY=2, COUNTIFS(Table45[Skill], "="&amp;Table19[[#This Row],[Additional Topics in Math]], Table45[Raw Score], "=0") + COUNTIFS(Table413[Skill],  "="&amp;Table19[[#This Row],[Additional Topics in Math]], Table413[Raw Score], "=0"), IF(PTKEY=3, COUNTIFS(Table31231[Skill], "="&amp;Table19[[#This Row],[Additional Topics in Math]], Table31231[Raw Score], "=0") + COUNTIFS(Table41332[Skill],  "="&amp;Table19[[#This Row],[Additional Topics in Math]], Table41332[Raw Score], "=0"), IF(PTKEY=4, COUNTIFS(Table3123134[Skill], "="&amp;Table19[[#This Row],[Additional Topics in Math]],Table3123134[Raw Score], "=0") + COUNTIFS(Table4133235[Skill],  "="&amp;Table19[[#This Row],[Additional Topics in Math]],Table4133235[Raw Score], "=0"), IF(PTKEY=5, COUNTIFS(Table312313438[Skill], "="&amp;Table19[[#This Row],[Additional Topics in Math]],Table312313438[Raw Score], "=0") + COUNTIFS(Table413323539[Skill],  "="&amp;Table19[[#This Row],[Additional Topics in Math]],Table413323539[Raw Score], "=0"),IF(PTKEY=6, COUNTIFS(Table4554[Skill], "="&amp;Table19[[#This Row],[Additional Topics in Math]],Table4554[Raw Score], "=0") + COUNTIFS(Table41352[Skill],  "="&amp;Table19[[#This Row],[Additional Topics in Math]],Table41352[Raw Score], "=0"),IF(PTKEY=7, COUNTIFS(Table455458[Skill], "="&amp;Table19[[#This Row],[Additional Topics in Math]],Table455458[Raw Score], "=0") + COUNTIFS(Table4135256[Skill],  "="&amp;Table19[[#This Row],[Additional Topics in Math]],Table4135256[Raw Score], "=0"),0))))))</f>
        <v>1</v>
      </c>
      <c r="E73" s="91">
        <f>Table19[[#This Row],[Correct]]+Table19[[#This Row],[Incorrect/Blank]]</f>
        <v>1</v>
      </c>
      <c r="F73" s="103">
        <f>IF(Table19[[#This Row],['# of Questions]]&lt;&gt;0,Table19[[#This Row],[Correct]]/Table19[[#This Row],['# of Questions]],0)</f>
        <v>0</v>
      </c>
    </row>
    <row r="74" spans="2:6" ht="15.75" thickBot="1">
      <c r="B74" s="108" t="s">
        <v>115</v>
      </c>
      <c r="C74" s="97">
        <f>IF(PTKEY=2, COUNTIFS(Table45[Skill], "="&amp;Table19[[#This Row],[Additional Topics in Math]], Table45[Raw Score], "=1") + COUNTIFS(Table413[Skill],  "="&amp;Table19[[#This Row],[Additional Topics in Math]], Table413[Raw Score], "=1"), IF(PTKEY=3, COUNTIFS(Table31231[Skill], "="&amp;Table19[[#This Row],[Additional Topics in Math]], Table31231[Raw Score], "=1") + COUNTIFS(Table41332[Skill],  "="&amp;Table19[[#This Row],[Additional Topics in Math]], Table41332[Raw Score], "=1"), IF(PTKEY=4, COUNTIFS(Table3123134[Skill], "="&amp;Table19[[#This Row],[Additional Topics in Math]],Table3123134[Raw Score], "=1") + COUNTIFS(Table4133235[Skill],  "="&amp;Table19[[#This Row],[Additional Topics in Math]],Table4133235[Raw Score], "=1"), IF(PTKEY=5, COUNTIFS(Table312313438[Skill], "="&amp;Table19[[#This Row],[Additional Topics in Math]],Table312313438[Raw Score], "=1") + COUNTIFS(Table413323539[Skill],  "="&amp;Table19[[#This Row],[Additional Topics in Math]],Table413323539[Raw Score], "=1"),IF(PTKEY=6, COUNTIFS(Table4554[Skill], "="&amp;Table19[[#This Row],[Additional Topics in Math]],Table4554[Raw Score], "=1") + COUNTIFS(Table41352[Skill],  "="&amp;Table19[[#This Row],[Additional Topics in Math]],Table41352[Raw Score], "=1"),IF(PTKEY=7, COUNTIFS(Table455458[Skill], "="&amp;Table19[[#This Row],[Additional Topics in Math]],Table455458[Raw Score], "=1") + COUNTIFS(Table4135256[Skill],  "="&amp;Table19[[#This Row],[Additional Topics in Math]],Table4135256[Raw Score], "=1"),0))))))</f>
        <v>0</v>
      </c>
      <c r="D74" s="97">
        <f>IF(PTKEY=2, COUNTIFS(Table45[Skill], "="&amp;Table19[[#This Row],[Additional Topics in Math]], Table45[Raw Score], "=0") + COUNTIFS(Table413[Skill],  "="&amp;Table19[[#This Row],[Additional Topics in Math]], Table413[Raw Score], "=0"), IF(PTKEY=3, COUNTIFS(Table31231[Skill], "="&amp;Table19[[#This Row],[Additional Topics in Math]], Table31231[Raw Score], "=0") + COUNTIFS(Table41332[Skill],  "="&amp;Table19[[#This Row],[Additional Topics in Math]], Table41332[Raw Score], "=0"), IF(PTKEY=4, COUNTIFS(Table3123134[Skill], "="&amp;Table19[[#This Row],[Additional Topics in Math]],Table3123134[Raw Score], "=0") + COUNTIFS(Table4133235[Skill],  "="&amp;Table19[[#This Row],[Additional Topics in Math]],Table4133235[Raw Score], "=0"), IF(PTKEY=5, COUNTIFS(Table312313438[Skill], "="&amp;Table19[[#This Row],[Additional Topics in Math]],Table312313438[Raw Score], "=0") + COUNTIFS(Table413323539[Skill],  "="&amp;Table19[[#This Row],[Additional Topics in Math]],Table413323539[Raw Score], "=0"),IF(PTKEY=6, COUNTIFS(Table4554[Skill], "="&amp;Table19[[#This Row],[Additional Topics in Math]],Table4554[Raw Score], "=0") + COUNTIFS(Table41352[Skill],  "="&amp;Table19[[#This Row],[Additional Topics in Math]],Table41352[Raw Score], "=0"),IF(PTKEY=7, COUNTIFS(Table455458[Skill], "="&amp;Table19[[#This Row],[Additional Topics in Math]],Table455458[Raw Score], "=0") + COUNTIFS(Table4135256[Skill],  "="&amp;Table19[[#This Row],[Additional Topics in Math]],Table4135256[Raw Score], "=0"),0))))))</f>
        <v>1</v>
      </c>
      <c r="E74" s="97">
        <f>Table19[[#This Row],[Correct]]+Table19[[#This Row],[Incorrect/Blank]]</f>
        <v>1</v>
      </c>
      <c r="F74" s="98">
        <f>IF(Table19[[#This Row],['# of Questions]]&lt;&gt;0,Table19[[#This Row],[Correct]]/Table19[[#This Row],['# of Questions]],0)</f>
        <v>0</v>
      </c>
    </row>
    <row r="75" spans="2:6">
      <c r="B75" s="109" t="s">
        <v>51</v>
      </c>
      <c r="C75" s="65">
        <f t="shared" ref="C75" si="3">SUM(C67:C74)</f>
        <v>0</v>
      </c>
      <c r="D75" s="65">
        <f t="shared" ref="D75" si="4">SUM(D67:D74)</f>
        <v>6</v>
      </c>
      <c r="E75" s="65">
        <f t="shared" ref="E75" si="5">SUM(E67:E74)</f>
        <v>6</v>
      </c>
      <c r="F75" s="66">
        <f>IF(Table19[[#This Row],['# of Questions]]&lt;&gt;0,Table19[[#This Row],[Correct]]/Table19[[#This Row],['# of Questions]],0)</f>
        <v>0</v>
      </c>
    </row>
  </sheetData>
  <sheetProtection sheet="1" objects="1" scenarios="1" selectLockedCells="1"/>
  <mergeCells count="2">
    <mergeCell ref="B9:F9"/>
    <mergeCell ref="B48:F48"/>
  </mergeCells>
  <pageMargins left="0.7" right="0.7" top="0.75" bottom="0.75" header="0.3" footer="0.3"/>
  <pageSetup orientation="portrait" r:id="rId1"/>
  <headerFooter>
    <oddHeader>&amp;C&amp;G&amp;"-,Bold"&amp;18SAT Report</oddHeader>
    <oddFooter>&amp;C&amp;F</oddFooter>
  </headerFooter>
  <legacyDrawingHF r:id="rId2"/>
  <tableParts count="4">
    <tablePart r:id="rId3"/>
    <tablePart r:id="rId4"/>
    <tablePart r:id="rId5"/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/>
  <dimension ref="A1:Q46"/>
  <sheetViews>
    <sheetView view="pageLayout" topLeftCell="A13" zoomScale="55" zoomScaleNormal="70" zoomScaleSheetLayoutView="70" zoomScalePageLayoutView="55" workbookViewId="0">
      <selection activeCell="D47" sqref="D47"/>
    </sheetView>
  </sheetViews>
  <sheetFormatPr defaultRowHeight="15"/>
  <cols>
    <col min="1" max="1" width="15.140625" customWidth="1"/>
    <col min="2" max="2" width="47.5703125" customWidth="1"/>
    <col min="3" max="3" width="10.28515625" customWidth="1"/>
    <col min="4" max="4" width="9.5703125" customWidth="1"/>
    <col min="5" max="5" width="10.28515625" customWidth="1"/>
    <col min="6" max="6" width="15.7109375" customWidth="1"/>
    <col min="7" max="7" width="7.140625" customWidth="1"/>
    <col min="10" max="10" width="29.85546875" customWidth="1"/>
  </cols>
  <sheetData>
    <row r="1" spans="1:17">
      <c r="B1" s="84"/>
      <c r="C1" s="84"/>
      <c r="D1" s="84"/>
      <c r="E1" s="84"/>
      <c r="F1" s="84"/>
    </row>
    <row r="2" spans="1:17">
      <c r="B2" s="84"/>
      <c r="C2" s="84"/>
      <c r="D2" s="84"/>
      <c r="E2" s="84"/>
      <c r="F2" s="84"/>
    </row>
    <row r="3" spans="1:17">
      <c r="B3" s="84"/>
      <c r="C3" s="84"/>
      <c r="D3" s="84"/>
      <c r="E3" s="84"/>
      <c r="F3" s="84"/>
    </row>
    <row r="4" spans="1:17">
      <c r="B4" s="84"/>
      <c r="C4" s="84"/>
      <c r="D4" s="84"/>
      <c r="E4" s="84"/>
      <c r="F4" s="84"/>
    </row>
    <row r="5" spans="1:17" ht="31.5" customHeight="1">
      <c r="A5" s="84"/>
      <c r="B5" s="84"/>
      <c r="C5" s="84"/>
      <c r="D5" s="84"/>
      <c r="E5" s="84"/>
      <c r="F5" s="84"/>
    </row>
    <row r="6" spans="1:17" ht="31.5" customHeight="1">
      <c r="A6" s="84"/>
      <c r="B6" s="84"/>
      <c r="C6" s="84"/>
      <c r="D6" s="84"/>
      <c r="E6" s="84"/>
      <c r="F6" s="84"/>
      <c r="L6" s="84"/>
    </row>
    <row r="7" spans="1:17" ht="31.5" customHeight="1">
      <c r="A7" s="84"/>
      <c r="B7" s="316" t="s">
        <v>4</v>
      </c>
      <c r="C7" s="316"/>
      <c r="D7" s="316"/>
      <c r="E7" s="316"/>
      <c r="F7" s="316"/>
      <c r="H7" s="317"/>
      <c r="I7" s="317"/>
      <c r="J7" s="317"/>
      <c r="K7" s="317"/>
      <c r="L7" s="318"/>
      <c r="M7" s="317"/>
      <c r="N7" s="317"/>
      <c r="O7" s="317"/>
      <c r="P7" s="317"/>
      <c r="Q7" s="21"/>
    </row>
    <row r="8" spans="1:17" ht="36" customHeight="1">
      <c r="A8" s="84"/>
      <c r="B8" s="102"/>
      <c r="C8" s="102"/>
      <c r="D8" s="102"/>
      <c r="E8" s="102"/>
      <c r="F8" s="102"/>
      <c r="H8" s="2"/>
      <c r="I8" s="2"/>
      <c r="J8" s="2"/>
      <c r="K8" s="2"/>
      <c r="L8" s="14"/>
      <c r="M8" s="2"/>
      <c r="N8" s="2"/>
      <c r="O8" s="2"/>
      <c r="P8" s="2"/>
      <c r="Q8" s="21"/>
    </row>
    <row r="9" spans="1:17" s="92" customFormat="1" ht="37.5" customHeight="1">
      <c r="A9" s="88"/>
      <c r="B9" s="111" t="s">
        <v>40</v>
      </c>
      <c r="C9" s="111" t="s">
        <v>47</v>
      </c>
      <c r="D9" s="111" t="s">
        <v>124</v>
      </c>
      <c r="E9" s="111" t="s">
        <v>127</v>
      </c>
      <c r="F9" s="111" t="s">
        <v>50</v>
      </c>
      <c r="L9" s="88"/>
    </row>
    <row r="10" spans="1:17" ht="20.25" customHeight="1">
      <c r="A10" s="84"/>
      <c r="B10" s="57" t="s">
        <v>41</v>
      </c>
      <c r="C10" s="91">
        <f>IF(PTKEY=2, COUNTIFS(Table1[Skill], "="&amp;Table4[[#This Row],[Information and Ideas]], Table1[Raw Score], "=1"),IF(PTKEY=3, COUNTIFS(Table130[Skill], "="&amp;Table4[[#This Row],[Information and Ideas]], Table130[Raw Score], "=1"),IF(PTKEY=4, COUNTIFS(Table13012[Skill], "="&amp;Table4[[#This Row],[Information and Ideas]],Table13012[Raw Score], "=1"),IF(PTKEY=5, COUNTIFS(Table1301237[Skill], "="&amp;Table4[[#This Row],[Information and Ideas]],Table1301237[Raw Score], "=1"),IF(PTKEY=6, COUNTIFS(Table151[Skill], "="&amp;Table4[[#This Row],[Information and Ideas]],Table151[Raw Score], "=1"),IF(PTKEY=7, COUNTIFS(Table15155[Skill], "="&amp;Table4[[#This Row],[Information and Ideas]],Table15155[Raw Score], "=1"),0))))))</f>
        <v>0</v>
      </c>
      <c r="D10" s="91">
        <f>IF(PTKEY=2, COUNTIFS(Table1[Skill], "="&amp;Table4[[#This Row],[Information and Ideas]], Table1[Raw Score], "=0"),IF(PTKEY=3, COUNTIFS(Table130[Skill], "="&amp;Table4[[#This Row],[Information and Ideas]], Table130[Raw Score], "=0"),IF(PTKEY=4, COUNTIFS(Table13012[Skill], "="&amp;Table4[[#This Row],[Information and Ideas]],Table13012[Raw Score], "=0"),IF(PTKEY=5, COUNTIFS(Table1301237[Skill], "="&amp;Table4[[#This Row],[Information and Ideas]],Table1301237[Raw Score], "=0"),IF(PTKEY=6, COUNTIFS(Table151[Skill], "="&amp;Table4[[#This Row],[Information and Ideas]],Table151[Raw Score], "=0"),IF(PTKEY=7, COUNTIFS(Table15155[Skill], "="&amp;Table4[[#This Row],[Information and Ideas]],Table15155[Raw Score], "=0"),0))))))</f>
        <v>9</v>
      </c>
      <c r="E10" s="91">
        <f>Table4[[#This Row],[Correct]]+Table4[[#This Row],[Incorrect/Blank]]</f>
        <v>9</v>
      </c>
      <c r="F10" s="103">
        <f>IF(Table4[[#This Row],['# of Questions]] &lt;&gt; 0, Table4[[#This Row],[Correct]]/Table4[[#This Row],['# of Questions]], 0)</f>
        <v>0</v>
      </c>
      <c r="L10" s="19"/>
    </row>
    <row r="11" spans="1:17" ht="20.25" customHeight="1">
      <c r="A11" s="84"/>
      <c r="B11" s="59" t="s">
        <v>42</v>
      </c>
      <c r="C11" s="91">
        <f>IF(PTKEY=2, COUNTIFS(Table1[Skill], "="&amp;Table4[[#This Row],[Information and Ideas]], Table1[Raw Score], "=1"),IF(PTKEY=3, COUNTIFS(Table130[Skill], "="&amp;Table4[[#This Row],[Information and Ideas]], Table130[Raw Score], "=1"),IF(PTKEY=4, COUNTIFS(Table13012[Skill], "="&amp;Table4[[#This Row],[Information and Ideas]],Table13012[Raw Score], "=1"),IF(PTKEY=5, COUNTIFS(Table1301237[Skill], "="&amp;Table4[[#This Row],[Information and Ideas]],Table1301237[Raw Score], "=1"),IF(PTKEY=6, COUNTIFS(Table151[Skill], "="&amp;Table4[[#This Row],[Information and Ideas]],Table151[Raw Score], "=1"),IF(PTKEY=7, COUNTIFS(Table15155[Skill], "="&amp;Table4[[#This Row],[Information and Ideas]],Table15155[Raw Score], "=1"),0))))))</f>
        <v>0</v>
      </c>
      <c r="D11" s="91">
        <f>IF(PTKEY=2, COUNTIFS(Table1[Skill], "="&amp;Table4[[#This Row],[Information and Ideas]], Table1[Raw Score], "=0"),IF(PTKEY=3, COUNTIFS(Table130[Skill], "="&amp;Table4[[#This Row],[Information and Ideas]], Table130[Raw Score], "=0"),IF(PTKEY=4, COUNTIFS(Table13012[Skill], "="&amp;Table4[[#This Row],[Information and Ideas]],Table13012[Raw Score], "=0"),IF(PTKEY=5, COUNTIFS(Table1301237[Skill], "="&amp;Table4[[#This Row],[Information and Ideas]],Table1301237[Raw Score], "=0"),IF(PTKEY=6, COUNTIFS(Table151[Skill], "="&amp;Table4[[#This Row],[Information and Ideas]],Table151[Raw Score], "=0"),IF(PTKEY=7, COUNTIFS(Table15155[Skill], "="&amp;Table4[[#This Row],[Information and Ideas]],Table15155[Raw Score], "=0"),0))))))</f>
        <v>8</v>
      </c>
      <c r="E11" s="91">
        <f>Table4[[#This Row],[Correct]]+Table4[[#This Row],[Incorrect/Blank]]</f>
        <v>8</v>
      </c>
      <c r="F11" s="103">
        <f>IF(Table4[[#This Row],['# of Questions]] &lt;&gt; 0, Table4[[#This Row],[Correct]]/Table4[[#This Row],['# of Questions]], 0)</f>
        <v>0</v>
      </c>
      <c r="L11" s="19"/>
    </row>
    <row r="12" spans="1:17" ht="20.25" customHeight="1">
      <c r="A12" s="84"/>
      <c r="B12" s="57" t="s">
        <v>43</v>
      </c>
      <c r="C12" s="91">
        <f>IF(PTKEY=2, COUNTIFS(Table1[Skill], "="&amp;Table4[[#This Row],[Information and Ideas]], Table1[Raw Score], "=1"),IF(PTKEY=3, COUNTIFS(Table130[Skill], "="&amp;Table4[[#This Row],[Information and Ideas]], Table130[Raw Score], "=1"),IF(PTKEY=4, COUNTIFS(Table13012[Skill], "="&amp;Table4[[#This Row],[Information and Ideas]],Table13012[Raw Score], "=1"),IF(PTKEY=5, COUNTIFS(Table1301237[Skill], "="&amp;Table4[[#This Row],[Information and Ideas]],Table1301237[Raw Score], "=1"),IF(PTKEY=6, COUNTIFS(Table151[Skill], "="&amp;Table4[[#This Row],[Information and Ideas]],Table151[Raw Score], "=1"),IF(PTKEY=7, COUNTIFS(Table15155[Skill], "="&amp;Table4[[#This Row],[Information and Ideas]],Table15155[Raw Score], "=1"),0))))))</f>
        <v>0</v>
      </c>
      <c r="D12" s="91">
        <f>IF(PTKEY=2, COUNTIFS(Table1[Skill], "="&amp;Table4[[#This Row],[Information and Ideas]], Table1[Raw Score], "=0"),IF(PTKEY=3, COUNTIFS(Table130[Skill], "="&amp;Table4[[#This Row],[Information and Ideas]], Table130[Raw Score], "=0"),IF(PTKEY=4, COUNTIFS(Table13012[Skill], "="&amp;Table4[[#This Row],[Information and Ideas]],Table13012[Raw Score], "=0"),IF(PTKEY=5, COUNTIFS(Table1301237[Skill], "="&amp;Table4[[#This Row],[Information and Ideas]],Table1301237[Raw Score], "=0"),IF(PTKEY=6, COUNTIFS(Table151[Skill], "="&amp;Table4[[#This Row],[Information and Ideas]],Table151[Raw Score], "=0"),IF(PTKEY=7, COUNTIFS(Table15155[Skill], "="&amp;Table4[[#This Row],[Information and Ideas]],Table15155[Raw Score], "=0"),0))))))</f>
        <v>1</v>
      </c>
      <c r="E12" s="91">
        <f>Table4[[#This Row],[Correct]]+Table4[[#This Row],[Incorrect/Blank]]</f>
        <v>1</v>
      </c>
      <c r="F12" s="103">
        <f>IF(Table4[[#This Row],['# of Questions]] &lt;&gt; 0, Table4[[#This Row],[Correct]]/Table4[[#This Row],['# of Questions]], 0)</f>
        <v>0</v>
      </c>
      <c r="L12" s="84"/>
    </row>
    <row r="13" spans="1:17" ht="20.25" customHeight="1">
      <c r="A13" s="84"/>
      <c r="B13" s="59" t="s">
        <v>44</v>
      </c>
      <c r="C13" s="91">
        <f>IF(PTKEY=2, COUNTIFS(Table1[Skill], "="&amp;Table4[[#This Row],[Information and Ideas]], Table1[Raw Score], "=1"),IF(PTKEY=3, COUNTIFS(Table130[Skill], "="&amp;Table4[[#This Row],[Information and Ideas]], Table130[Raw Score], "=1"),IF(PTKEY=4, COUNTIFS(Table13012[Skill], "="&amp;Table4[[#This Row],[Information and Ideas]],Table13012[Raw Score], "=1"),IF(PTKEY=5, COUNTIFS(Table1301237[Skill], "="&amp;Table4[[#This Row],[Information and Ideas]],Table1301237[Raw Score], "=1"),IF(PTKEY=6, COUNTIFS(Table151[Skill], "="&amp;Table4[[#This Row],[Information and Ideas]],Table151[Raw Score], "=1"),IF(PTKEY=7, COUNTIFS(Table15155[Skill], "="&amp;Table4[[#This Row],[Information and Ideas]],Table15155[Raw Score], "=1"),0))))))</f>
        <v>0</v>
      </c>
      <c r="D13" s="91">
        <f>IF(PTKEY=2, COUNTIFS(Table1[Skill], "="&amp;Table4[[#This Row],[Information and Ideas]], Table1[Raw Score], "=0"),IF(PTKEY=3, COUNTIFS(Table130[Skill], "="&amp;Table4[[#This Row],[Information and Ideas]], Table130[Raw Score], "=0"),IF(PTKEY=4, COUNTIFS(Table13012[Skill], "="&amp;Table4[[#This Row],[Information and Ideas]],Table13012[Raw Score], "=0"),IF(PTKEY=5, COUNTIFS(Table1301237[Skill], "="&amp;Table4[[#This Row],[Information and Ideas]],Table1301237[Raw Score], "=0"),IF(PTKEY=6, COUNTIFS(Table151[Skill], "="&amp;Table4[[#This Row],[Information and Ideas]],Table151[Raw Score], "=0"),IF(PTKEY=7, COUNTIFS(Table15155[Skill], "="&amp;Table4[[#This Row],[Information and Ideas]],Table15155[Raw Score], "=0"),0))))))</f>
        <v>1</v>
      </c>
      <c r="E13" s="91">
        <f>Table4[[#This Row],[Correct]]+Table4[[#This Row],[Incorrect/Blank]]</f>
        <v>1</v>
      </c>
      <c r="F13" s="103">
        <f>IF(Table4[[#This Row],['# of Questions]] &lt;&gt; 0, Table4[[#This Row],[Correct]]/Table4[[#This Row],['# of Questions]], 0)</f>
        <v>0</v>
      </c>
      <c r="L13" s="84"/>
    </row>
    <row r="14" spans="1:17" ht="20.25" customHeight="1">
      <c r="A14" s="84"/>
      <c r="B14" s="57" t="s">
        <v>45</v>
      </c>
      <c r="C14" s="91">
        <f>IF(PTKEY=2, COUNTIFS(Table1[Skill], "="&amp;Table4[[#This Row],[Information and Ideas]], Table1[Raw Score], "=1"),IF(PTKEY=3, COUNTIFS(Table130[Skill], "="&amp;Table4[[#This Row],[Information and Ideas]], Table130[Raw Score], "=1"),IF(PTKEY=4, COUNTIFS(Table13012[Skill], "="&amp;Table4[[#This Row],[Information and Ideas]],Table13012[Raw Score], "=1"),IF(PTKEY=5, COUNTIFS(Table1301237[Skill], "="&amp;Table4[[#This Row],[Information and Ideas]],Table1301237[Raw Score], "=1"),IF(PTKEY=6, COUNTIFS(Table151[Skill], "="&amp;Table4[[#This Row],[Information and Ideas]],Table151[Raw Score], "=1"),IF(PTKEY=7, COUNTIFS(Table15155[Skill], "="&amp;Table4[[#This Row],[Information and Ideas]],Table15155[Raw Score], "=1"),0))))))</f>
        <v>0</v>
      </c>
      <c r="D14" s="91">
        <f>IF(PTKEY=2, COUNTIFS(Table1[Skill], "="&amp;Table4[[#This Row],[Information and Ideas]], Table1[Raw Score], "=0"),IF(PTKEY=3, COUNTIFS(Table130[Skill], "="&amp;Table4[[#This Row],[Information and Ideas]], Table130[Raw Score], "=0"),IF(PTKEY=4, COUNTIFS(Table13012[Skill], "="&amp;Table4[[#This Row],[Information and Ideas]],Table13012[Raw Score], "=0"),IF(PTKEY=5, COUNTIFS(Table1301237[Skill], "="&amp;Table4[[#This Row],[Information and Ideas]],Table1301237[Raw Score], "=0"),IF(PTKEY=6, COUNTIFS(Table151[Skill], "="&amp;Table4[[#This Row],[Information and Ideas]],Table151[Raw Score], "=0"),IF(PTKEY=7, COUNTIFS(Table15155[Skill], "="&amp;Table4[[#This Row],[Information and Ideas]],Table15155[Raw Score], "=0"),0))))))</f>
        <v>1</v>
      </c>
      <c r="E14" s="93">
        <f>Table4[[#This Row],[Correct]]+Table4[[#This Row],[Incorrect/Blank]]</f>
        <v>1</v>
      </c>
      <c r="F14" s="63">
        <f>IF(Table4[[#This Row],['# of Questions]] &lt;&gt; 0, Table4[[#This Row],[Correct]]/Table4[[#This Row],['# of Questions]], 0)</f>
        <v>0</v>
      </c>
    </row>
    <row r="15" spans="1:17" ht="20.25" customHeight="1" thickBot="1">
      <c r="A15" s="84"/>
      <c r="B15" s="96" t="s">
        <v>46</v>
      </c>
      <c r="C15" s="97">
        <f>IF(PTKEY=2, COUNTIFS(Table1[Skill], "="&amp;Table4[[#This Row],[Information and Ideas]], Table1[Raw Score], "=1"),IF(PTKEY=3, COUNTIFS(Table130[Skill], "="&amp;Table4[[#This Row],[Information and Ideas]], Table130[Raw Score], "=1"),IF(PTKEY=4, COUNTIFS(Table13012[Skill], "="&amp;Table4[[#This Row],[Information and Ideas]],Table13012[Raw Score], "=1"),IF(PTKEY=5, COUNTIFS(Table1301237[Skill], "="&amp;Table4[[#This Row],[Information and Ideas]],Table1301237[Raw Score], "=1"),IF(PTKEY=6, COUNTIFS(Table151[Skill], "="&amp;Table4[[#This Row],[Information and Ideas]],Table151[Raw Score], "=1"),IF(PTKEY=7, COUNTIFS(Table15155[Skill], "="&amp;Table4[[#This Row],[Information and Ideas]],Table15155[Raw Score], "=1"),0))))))</f>
        <v>0</v>
      </c>
      <c r="D15" s="97">
        <f>IF(PTKEY=2, COUNTIFS(Table1[Skill], "="&amp;Table4[[#This Row],[Information and Ideas]], Table1[Raw Score], "=0"),IF(PTKEY=3, COUNTIFS(Table130[Skill], "="&amp;Table4[[#This Row],[Information and Ideas]], Table130[Raw Score], "=0"),IF(PTKEY=4, COUNTIFS(Table13012[Skill], "="&amp;Table4[[#This Row],[Information and Ideas]],Table13012[Raw Score], "=0"),IF(PTKEY=5, COUNTIFS(Table1301237[Skill], "="&amp;Table4[[#This Row],[Information and Ideas]],Table1301237[Raw Score], "=0"),IF(PTKEY=6, COUNTIFS(Table151[Skill], "="&amp;Table4[[#This Row],[Information and Ideas]],Table151[Raw Score], "=0"),IF(PTKEY=7, COUNTIFS(Table15155[Skill], "="&amp;Table4[[#This Row],[Information and Ideas]],Table15155[Raw Score], "=0"),0))))))</f>
        <v>7</v>
      </c>
      <c r="E15" s="97">
        <f>Table4[[#This Row],[Correct]]+Table4[[#This Row],[Incorrect/Blank]]</f>
        <v>7</v>
      </c>
      <c r="F15" s="98">
        <f>IF(Table4[[#This Row],['# of Questions]] &lt;&gt; 0, Table4[[#This Row],[Correct]]/Table4[[#This Row],['# of Questions]], 0)</f>
        <v>0</v>
      </c>
    </row>
    <row r="16" spans="1:17">
      <c r="A16" s="84"/>
      <c r="B16" s="95" t="s">
        <v>51</v>
      </c>
      <c r="C16" s="65">
        <f>SUM(C10:C15)</f>
        <v>0</v>
      </c>
      <c r="D16" s="65">
        <f>SUM(D10:D15)</f>
        <v>27</v>
      </c>
      <c r="E16" s="65">
        <f>SUM(E10:E15)</f>
        <v>27</v>
      </c>
      <c r="F16" s="66">
        <f>IF(Table4[[#This Row],['# of Questions]] &lt;&gt; 0, Table4[[#This Row],[Correct]]/Table4[[#This Row],['# of Questions]], 0)</f>
        <v>0</v>
      </c>
    </row>
    <row r="17" spans="2:6">
      <c r="B17" s="67"/>
      <c r="C17" s="67"/>
      <c r="D17" s="67"/>
      <c r="E17" s="67"/>
      <c r="F17" s="67"/>
    </row>
    <row r="18" spans="2:6">
      <c r="B18" s="67"/>
      <c r="C18" s="67"/>
      <c r="D18" s="67"/>
      <c r="E18" s="67"/>
      <c r="F18" s="67"/>
    </row>
    <row r="19" spans="2:6" s="92" customFormat="1" ht="30">
      <c r="B19" s="110" t="s">
        <v>52</v>
      </c>
      <c r="C19" s="110" t="s">
        <v>47</v>
      </c>
      <c r="D19" s="110" t="s">
        <v>124</v>
      </c>
      <c r="E19" s="110" t="s">
        <v>127</v>
      </c>
      <c r="F19" s="110" t="s">
        <v>50</v>
      </c>
    </row>
    <row r="20" spans="2:6" ht="18" customHeight="1">
      <c r="B20" s="57" t="s">
        <v>53</v>
      </c>
      <c r="C20" s="91">
        <f>IF(PTKEY=2, COUNTIFS(Table1[Skill], "="&amp;Table6[[#This Row],[Rhetoric]], Table1[Raw Score], "=1"),IF(PTKEY=3, COUNTIFS(Table130[Skill], "="&amp;Table6[[#This Row],[Rhetoric]], Table130[Raw Score], "=1"),IF(PTKEY=4, COUNTIFS(Table13012[Skill], "="&amp;Table6[[#This Row],[Rhetoric]],Table13012[Raw Score], "=1"),IF(PTKEY=5, COUNTIFS(Table1301237[Skill], "="&amp;Table6[[#This Row],[Rhetoric]],Table1301237[Raw Score], "=1"),IF(PTKEY=6, COUNTIFS(Table151[Skill], "="&amp;Table6[[#This Row],[Rhetoric]],Table151[Raw Score], "=1"),IF(PTKEY=7, COUNTIFS(Table15155[Skill], "="&amp;Table6[[#This Row],[Rhetoric]],Table15155[Raw Score], "=1"),0))))))</f>
        <v>0</v>
      </c>
      <c r="D20" s="93">
        <f>IF(PTKEY=2, COUNTIFS(Table1[Skill], "="&amp;Table6[[#This Row],[Rhetoric]], Table1[Raw Score], "=0"),IF(PTKEY=3, COUNTIFS(Table130[Skill], "="&amp;Table6[[#This Row],[Rhetoric]], Table130[Raw Score], "=0"),IF(PTKEY=4, COUNTIFS(Table13012[Skill], "="&amp;Table6[[#This Row],[Rhetoric]],Table13012[Raw Score], "=0"),IF(PTKEY=5, COUNTIFS(Table1301237[Skill], "="&amp;Table6[[#This Row],[Rhetoric]],Table1301237[Raw Score], "=0"),IF(PTKEY=6, COUNTIFS(Table151[Skill], "="&amp;Table6[[#This Row],[Rhetoric]],Table151[Raw Score], "=0"),IF(PTKEY=7, COUNTIFS(Table15155[Skill], "="&amp;Table6[[#This Row],[Rhetoric]],Table15155[Raw Score], "=0"),0))))))</f>
        <v>3</v>
      </c>
      <c r="E20" s="35">
        <f>Table6[[#This Row],[Incorrect/Blank]]+Table6[[#This Row],[Correct]]</f>
        <v>3</v>
      </c>
      <c r="F20" s="63">
        <f>IF(Table6[[#This Row],['# of Questions]] &lt;&gt; 0, Table6[[#This Row],[Correct]]/Table6[[#This Row],['# of Questions]], 0)</f>
        <v>0</v>
      </c>
    </row>
    <row r="21" spans="2:6" ht="18" customHeight="1">
      <c r="B21" s="59" t="s">
        <v>54</v>
      </c>
      <c r="C21" s="91">
        <f>IF(PTKEY=2, COUNTIFS(Table1[Skill], "="&amp;Table6[[#This Row],[Rhetoric]], Table1[Raw Score], "=1"),IF(PTKEY=3, COUNTIFS(Table130[Skill], "="&amp;Table6[[#This Row],[Rhetoric]], Table130[Raw Score], "=1"),IF(PTKEY=4, COUNTIFS(Table13012[Skill], "="&amp;Table6[[#This Row],[Rhetoric]],Table13012[Raw Score], "=1"),IF(PTKEY=5, COUNTIFS(Table1301237[Skill], "="&amp;Table6[[#This Row],[Rhetoric]],Table1301237[Raw Score], "=1"),IF(PTKEY=6, COUNTIFS(Table151[Skill], "="&amp;Table6[[#This Row],[Rhetoric]],Table151[Raw Score], "=1"),IF(PTKEY=7, COUNTIFS(Table15155[Skill], "="&amp;Table6[[#This Row],[Rhetoric]],Table15155[Raw Score], "=1"),0))))))</f>
        <v>0</v>
      </c>
      <c r="D21" s="93">
        <f>IF(PTKEY=2, COUNTIFS(Table1[Skill], "="&amp;Table6[[#This Row],[Rhetoric]], Table1[Raw Score], "=0"),IF(PTKEY=3, COUNTIFS(Table130[Skill], "="&amp;Table6[[#This Row],[Rhetoric]], Table130[Raw Score], "=0"),IF(PTKEY=4, COUNTIFS(Table13012[Skill], "="&amp;Table6[[#This Row],[Rhetoric]],Table13012[Raw Score], "=0"),IF(PTKEY=5, COUNTIFS(Table1301237[Skill], "="&amp;Table6[[#This Row],[Rhetoric]],Table1301237[Raw Score], "=0"),IF(PTKEY=6, COUNTIFS(Table151[Skill], "="&amp;Table6[[#This Row],[Rhetoric]],Table151[Raw Score], "=0"),IF(PTKEY=7, COUNTIFS(Table15155[Skill], "="&amp;Table6[[#This Row],[Rhetoric]],Table15155[Raw Score], "=0"),0))))))</f>
        <v>2</v>
      </c>
      <c r="E21" s="93">
        <f>Table6[[#This Row],[Incorrect/Blank]]+Table6[[#This Row],[Correct]]</f>
        <v>2</v>
      </c>
      <c r="F21" s="63">
        <f>IF(Table6[[#This Row],['# of Questions]] &lt;&gt; 0, Table6[[#This Row],[Correct]]/Table6[[#This Row],['# of Questions]], 0)</f>
        <v>0</v>
      </c>
    </row>
    <row r="22" spans="2:6" ht="18" customHeight="1">
      <c r="B22" s="57" t="s">
        <v>55</v>
      </c>
      <c r="C22" s="91">
        <f>IF(PTKEY=2, COUNTIFS(Table1[Skill], "="&amp;Table6[[#This Row],[Rhetoric]], Table1[Raw Score], "=1"),IF(PTKEY=3, COUNTIFS(Table130[Skill], "="&amp;Table6[[#This Row],[Rhetoric]], Table130[Raw Score], "=1"),IF(PTKEY=4, COUNTIFS(Table13012[Skill], "="&amp;Table6[[#This Row],[Rhetoric]],Table13012[Raw Score], "=1"),IF(PTKEY=5, COUNTIFS(Table1301237[Skill], "="&amp;Table6[[#This Row],[Rhetoric]],Table1301237[Raw Score], "=1"),IF(PTKEY=6, COUNTIFS(Table151[Skill], "="&amp;Table6[[#This Row],[Rhetoric]],Table151[Raw Score], "=1"),IF(PTKEY=7, COUNTIFS(Table15155[Skill], "="&amp;Table6[[#This Row],[Rhetoric]],Table15155[Raw Score], "=1"),0))))))</f>
        <v>0</v>
      </c>
      <c r="D22" s="93">
        <f>IF(PTKEY=2, COUNTIFS(Table1[Skill], "="&amp;Table6[[#This Row],[Rhetoric]], Table1[Raw Score], "=0"),IF(PTKEY=3, COUNTIFS(Table130[Skill], "="&amp;Table6[[#This Row],[Rhetoric]], Table130[Raw Score], "=0"),IF(PTKEY=4, COUNTIFS(Table13012[Skill], "="&amp;Table6[[#This Row],[Rhetoric]],Table13012[Raw Score], "=0"),IF(PTKEY=5, COUNTIFS(Table1301237[Skill], "="&amp;Table6[[#This Row],[Rhetoric]],Table1301237[Raw Score], "=0"),IF(PTKEY=6, COUNTIFS(Table151[Skill], "="&amp;Table6[[#This Row],[Rhetoric]],Table151[Raw Score], "=0"),IF(PTKEY=7, COUNTIFS(Table15155[Skill], "="&amp;Table6[[#This Row],[Rhetoric]],Table15155[Raw Score], "=0"),0))))))</f>
        <v>1</v>
      </c>
      <c r="E22" s="93">
        <f>Table6[[#This Row],[Incorrect/Blank]]+Table6[[#This Row],[Correct]]</f>
        <v>1</v>
      </c>
      <c r="F22" s="63">
        <f>IF(Table6[[#This Row],['# of Questions]] &lt;&gt; 0, Table6[[#This Row],[Correct]]/Table6[[#This Row],['# of Questions]], 0)</f>
        <v>0</v>
      </c>
    </row>
    <row r="23" spans="2:6" ht="18" customHeight="1">
      <c r="B23" s="59" t="s">
        <v>56</v>
      </c>
      <c r="C23" s="91">
        <f>IF(PTKEY=2, COUNTIFS(Table1[Skill], "="&amp;Table6[[#This Row],[Rhetoric]], Table1[Raw Score], "=1"),IF(PTKEY=3, COUNTIFS(Table130[Skill], "="&amp;Table6[[#This Row],[Rhetoric]], Table130[Raw Score], "=1"),IF(PTKEY=4, COUNTIFS(Table13012[Skill], "="&amp;Table6[[#This Row],[Rhetoric]],Table13012[Raw Score], "=1"),IF(PTKEY=5, COUNTIFS(Table1301237[Skill], "="&amp;Table6[[#This Row],[Rhetoric]],Table1301237[Raw Score], "=1"),IF(PTKEY=6, COUNTIFS(Table151[Skill], "="&amp;Table6[[#This Row],[Rhetoric]],Table151[Raw Score], "=1"),IF(PTKEY=7, COUNTIFS(Table15155[Skill], "="&amp;Table6[[#This Row],[Rhetoric]],Table15155[Raw Score], "=1"),0))))))</f>
        <v>0</v>
      </c>
      <c r="D23" s="93">
        <f>IF(PTKEY=2, COUNTIFS(Table1[Skill], "="&amp;Table6[[#This Row],[Rhetoric]], Table1[Raw Score], "=0"),IF(PTKEY=3, COUNTIFS(Table130[Skill], "="&amp;Table6[[#This Row],[Rhetoric]], Table130[Raw Score], "=0"),IF(PTKEY=4, COUNTIFS(Table13012[Skill], "="&amp;Table6[[#This Row],[Rhetoric]],Table13012[Raw Score], "=0"),IF(PTKEY=5, COUNTIFS(Table1301237[Skill], "="&amp;Table6[[#This Row],[Rhetoric]],Table1301237[Raw Score], "=0"),IF(PTKEY=6, COUNTIFS(Table151[Skill], "="&amp;Table6[[#This Row],[Rhetoric]],Table151[Raw Score], "=0"),IF(PTKEY=7, COUNTIFS(Table15155[Skill], "="&amp;Table6[[#This Row],[Rhetoric]],Table15155[Raw Score], "=0"),0))))))</f>
        <v>7</v>
      </c>
      <c r="E23" s="93">
        <f>Table6[[#This Row],[Incorrect/Blank]]+Table6[[#This Row],[Correct]]</f>
        <v>7</v>
      </c>
      <c r="F23" s="63">
        <f>IF(Table6[[#This Row],['# of Questions]] &lt;&gt; 0, Table6[[#This Row],[Correct]]/Table6[[#This Row],['# of Questions]], 0)</f>
        <v>0</v>
      </c>
    </row>
    <row r="24" spans="2:6" ht="18" customHeight="1" thickBot="1">
      <c r="B24" s="99" t="s">
        <v>57</v>
      </c>
      <c r="C24" s="97">
        <f>IF(PTKEY=2, COUNTIFS(Table1[Skill], "="&amp;Table6[[#This Row],[Rhetoric]], Table1[Raw Score], "=1"),IF(PTKEY=3, COUNTIFS(Table130[Skill], "="&amp;Table6[[#This Row],[Rhetoric]], Table130[Raw Score], "=1"),IF(PTKEY=4, COUNTIFS(Table13012[Skill], "="&amp;Table6[[#This Row],[Rhetoric]],Table13012[Raw Score], "=1"),IF(PTKEY=5, COUNTIFS(Table1301237[Skill], "="&amp;Table6[[#This Row],[Rhetoric]],Table1301237[Raw Score], "=1"),IF(PTKEY=6, COUNTIFS(Table151[Skill], "="&amp;Table6[[#This Row],[Rhetoric]],Table151[Raw Score], "=1"),IF(PTKEY=7, COUNTIFS(Table15155[Skill], "="&amp;Table6[[#This Row],[Rhetoric]],Table15155[Raw Score], "=1"),0))))))</f>
        <v>0</v>
      </c>
      <c r="D24" s="97">
        <f>IF(PTKEY=2, COUNTIFS(Table1[Skill], "="&amp;Table6[[#This Row],[Rhetoric]], Table1[Raw Score], "=0"),IF(PTKEY=3, COUNTIFS(Table130[Skill], "="&amp;Table6[[#This Row],[Rhetoric]], Table130[Raw Score], "=0"),IF(PTKEY=4, COUNTIFS(Table13012[Skill], "="&amp;Table6[[#This Row],[Rhetoric]],Table13012[Raw Score], "=0"),IF(PTKEY=5, COUNTIFS(Table1301237[Skill], "="&amp;Table6[[#This Row],[Rhetoric]],Table1301237[Raw Score], "=0"),IF(PTKEY=6, COUNTIFS(Table151[Skill], "="&amp;Table6[[#This Row],[Rhetoric]],Table151[Raw Score], "=0"),IF(PTKEY=7, COUNTIFS(Table15155[Skill], "="&amp;Table6[[#This Row],[Rhetoric]],Table15155[Raw Score], "=0"),0))))))</f>
        <v>3</v>
      </c>
      <c r="E24" s="97">
        <f>Table6[[#This Row],[Incorrect/Blank]]+Table6[[#This Row],[Correct]]</f>
        <v>3</v>
      </c>
      <c r="F24" s="98">
        <f>IF(Table6[[#This Row],['# of Questions]] &lt;&gt; 0, Table6[[#This Row],[Correct]]/Table6[[#This Row],['# of Questions]], 0)</f>
        <v>0</v>
      </c>
    </row>
    <row r="25" spans="2:6">
      <c r="B25" s="64" t="s">
        <v>51</v>
      </c>
      <c r="C25" s="65">
        <f>SUM(C20:C24)</f>
        <v>0</v>
      </c>
      <c r="D25" s="65">
        <f>SUM(D20:D24)</f>
        <v>16</v>
      </c>
      <c r="E25" s="65">
        <f>SUM(E20:E24)</f>
        <v>16</v>
      </c>
      <c r="F25" s="66">
        <f>IF(Table6[[#This Row],['# of Questions]] &lt;&gt; 0, Table6[[#This Row],[Correct]]/Table6[[#This Row],['# of Questions]], 0)</f>
        <v>0</v>
      </c>
    </row>
    <row r="26" spans="2:6">
      <c r="B26" s="67"/>
      <c r="C26" s="67"/>
      <c r="D26" s="67"/>
      <c r="E26" s="67"/>
      <c r="F26" s="67"/>
    </row>
    <row r="27" spans="2:6" s="92" customFormat="1" ht="30">
      <c r="B27" s="110" t="s">
        <v>58</v>
      </c>
      <c r="C27" s="110" t="s">
        <v>47</v>
      </c>
      <c r="D27" s="110" t="s">
        <v>124</v>
      </c>
      <c r="E27" s="110" t="s">
        <v>127</v>
      </c>
      <c r="F27" s="110" t="s">
        <v>50</v>
      </c>
    </row>
    <row r="28" spans="2:6" ht="15" customHeight="1">
      <c r="B28" s="68" t="s">
        <v>59</v>
      </c>
      <c r="C28" s="91">
        <f>IF(PTKEY=2, COUNTIFS(Table1[Skill], "="&amp;Table8[[#This Row],[Synthesis]], Table1[Raw Score], "=1"),IF(PTKEY=3, COUNTIFS(Table130[Skill], "="&amp;Table8[[#This Row],[Synthesis]], Table130[Raw Score], "=1"),IF(PTKEY=4, COUNTIFS(Table13012[Skill], "="&amp;Table8[[#This Row],[Synthesis]],Table13012[Raw Score], "=1"),IF(PTKEY=5, COUNTIFS(Table1301237[Skill], "="&amp;Table8[[#This Row],[Synthesis]],Table1301237[Raw Score], "=1"),IF(PTKEY=6, COUNTIFS(Table151[Skill], "="&amp;Table8[[#This Row],[Synthesis]],Table151[Raw Score], "=1"),IF(PTKEY=7, COUNTIFS(Table15155[Skill], "="&amp;Table8[[#This Row],[Synthesis]],Table15155[Raw Score], "=1"),0))))))</f>
        <v>0</v>
      </c>
      <c r="D28" s="93">
        <f>IF(PTKEY=2, COUNTIFS(Table1[Skill], "="&amp;Table8[[#This Row],[Synthesis]], Table1[Raw Score], "=0"),IF(PTKEY=3, COUNTIFS(Table130[Skill], "="&amp;Table8[[#This Row],[Synthesis]], Table130[Raw Score], "=0"),IF(PTKEY=4, COUNTIFS(Table13012[Skill], "="&amp;Table8[[#This Row],[Synthesis]],Table13012[Raw Score], "=0"),IF(PTKEY=5, COUNTIFS(Table1301237[Skill], "="&amp;Table8[[#This Row],[Synthesis]],Table1301237[Raw Score], "=0"),IF(PTKEY=6, COUNTIFS(Table151[Skill], "="&amp;Table8[[#This Row],[Synthesis]],Table151[Raw Score], "=0"),IF(PTKEY=7, COUNTIFS(Table15155[Skill], "="&amp;Table8[[#This Row],[Synthesis]],Table15155[Raw Score], "=0"),0))))))</f>
        <v>3</v>
      </c>
      <c r="E28" s="35">
        <f>Table8[[#This Row],[Incorrect/Blank]]+Table8[[#This Row],[Correct]]</f>
        <v>3</v>
      </c>
      <c r="F28" s="63">
        <f>IF(Table8[[#This Row],['# of Questions]] &lt;&gt; 0, Table8[[#This Row],[Correct]]/Table8[[#This Row],['# of Questions]], 0)</f>
        <v>0</v>
      </c>
    </row>
    <row r="29" spans="2:6" ht="15" customHeight="1" thickBot="1">
      <c r="B29" s="100" t="s">
        <v>60</v>
      </c>
      <c r="C29" s="97">
        <f>IF(PTKEY=2, COUNTIFS(Table1[Skill], "="&amp;Table8[[#This Row],[Synthesis]], Table1[Raw Score], "=1"),IF(PTKEY=3, COUNTIFS(Table130[Skill], "="&amp;Table8[[#This Row],[Synthesis]], Table130[Raw Score], "=1"),IF(PTKEY=4, COUNTIFS(Table13012[Skill], "="&amp;Table8[[#This Row],[Synthesis]],Table13012[Raw Score], "=1"),IF(PTKEY=5, COUNTIFS(Table1301237[Skill], "="&amp;Table8[[#This Row],[Synthesis]],Table1301237[Raw Score], "=1"),IF(PTKEY=6, COUNTIFS(Table151[Skill], "="&amp;Table8[[#This Row],[Synthesis]],Table151[Raw Score], "=1"),IF(PTKEY=7, COUNTIFS(Table15155[Skill], "="&amp;Table8[[#This Row],[Synthesis]],Table15155[Raw Score], "=1"),0))))))</f>
        <v>0</v>
      </c>
      <c r="D29" s="97">
        <f>IF(PTKEY=2, COUNTIFS(Table1[Skill], "="&amp;Table8[[#This Row],[Synthesis]], Table1[Raw Score], "=0"),IF(PTKEY=3, COUNTIFS(Table130[Skill], "="&amp;Table8[[#This Row],[Synthesis]], Table130[Raw Score], "=0"),IF(PTKEY=4, COUNTIFS(Table13012[Skill], "="&amp;Table8[[#This Row],[Synthesis]],Table13012[Raw Score], "=0"),IF(PTKEY=5, COUNTIFS(Table1301237[Skill], "="&amp;Table8[[#This Row],[Synthesis]],Table1301237[Raw Score], "=0"),IF(PTKEY=6, COUNTIFS(Table151[Skill], "="&amp;Table8[[#This Row],[Synthesis]],Table151[Raw Score], "=0"),IF(PTKEY=7, COUNTIFS(Table15155[Skill], "="&amp;Table8[[#This Row],[Synthesis]],Table15155[Raw Score], "=0"),0))))))</f>
        <v>6</v>
      </c>
      <c r="E29" s="97">
        <f>Table8[[#This Row],[Incorrect/Blank]]+Table8[[#This Row],[Correct]]</f>
        <v>6</v>
      </c>
      <c r="F29" s="98">
        <f>IF(Table8[[#This Row],['# of Questions]] &lt;&gt; 0, Table8[[#This Row],[Correct]]/Table8[[#This Row],['# of Questions]], 0)</f>
        <v>0</v>
      </c>
    </row>
    <row r="30" spans="2:6">
      <c r="B30" s="64" t="s">
        <v>51</v>
      </c>
      <c r="C30" s="65">
        <f>SUM(C28:C29)</f>
        <v>0</v>
      </c>
      <c r="D30" s="65">
        <f t="shared" ref="D30" si="0">SUM(D28:D29)</f>
        <v>9</v>
      </c>
      <c r="E30" s="65">
        <f t="shared" ref="E30" si="1">SUM(E28:E29)</f>
        <v>9</v>
      </c>
      <c r="F30" s="66">
        <f>IF(Table8[[#This Row],['# of Questions]] &lt;&gt; 0, Table8[[#This Row],[Correct]]/Table8[[#This Row],['# of Questions]], 0)</f>
        <v>0</v>
      </c>
    </row>
    <row r="31" spans="2:6">
      <c r="B31" s="67"/>
      <c r="C31" s="67"/>
      <c r="D31" s="67"/>
      <c r="E31" s="67"/>
      <c r="F31" s="67"/>
    </row>
    <row r="32" spans="2:6" ht="33.75">
      <c r="B32" s="319" t="s">
        <v>70</v>
      </c>
      <c r="C32" s="319"/>
      <c r="D32" s="319"/>
      <c r="E32" s="319"/>
      <c r="F32" s="319"/>
    </row>
    <row r="33" spans="2:6" ht="36" customHeight="1">
      <c r="B33" s="67"/>
      <c r="C33" s="67"/>
      <c r="D33" s="67"/>
      <c r="E33" s="67"/>
      <c r="F33" s="67"/>
    </row>
    <row r="34" spans="2:6" s="92" customFormat="1" ht="30">
      <c r="B34" s="110" t="s">
        <v>61</v>
      </c>
      <c r="C34" s="110" t="s">
        <v>47</v>
      </c>
      <c r="D34" s="110" t="s">
        <v>124</v>
      </c>
      <c r="E34" s="110" t="s">
        <v>127</v>
      </c>
      <c r="F34" s="110" t="s">
        <v>50</v>
      </c>
    </row>
    <row r="35" spans="2:6">
      <c r="B35" s="69" t="s">
        <v>62</v>
      </c>
      <c r="C35" s="93">
        <f>IF(PTKEY=2, COUNTIFS(Table211[Skill], "="&amp;Table914[[#This Row],[Expression of Ideas]], Table211[Raw Score], "=1"), IF(PTKEY=3, COUNTIFS(Table21133[Skill], "="&amp;Table914[[#This Row],[Expression of Ideas]], Table21133[Raw Score], "=1"), IF(PTKEY=4, COUNTIFS(Table2113336[Skill], "="&amp;Table914[[#This Row],[Expression of Ideas]],Table2113336[Raw Score], "=1"), IF(PTKEY=5, COUNTIFS(Table211333640[Skill], "="&amp;Table914[[#This Row],[Expression of Ideas]],Table211333640[Raw Score], "=1"),IF(PTKEY=6, COUNTIFS(Table21153[Skill], "="&amp;Table914[[#This Row],[Expression of Ideas]],Table21153[Raw Score], "=1"),IF(PTKEY=7, COUNTIFS(Table2115357[Skill], "="&amp;Table914[[#This Row],[Expression of Ideas]],Table2115357[Raw Score], "=1"),0))))))</f>
        <v>0</v>
      </c>
      <c r="D35" s="93">
        <f>IF(PTKEY=2, COUNTIFS(Table211[Skill], "="&amp;Table914[[#This Row],[Expression of Ideas]], Table211[Raw Score], "=0"), IF(PTKEY=3, COUNTIFS(Table21133[Skill], "="&amp;Table914[[#This Row],[Expression of Ideas]], Table21133[Raw Score], "=0"), IF(PTKEY=4, COUNTIFS(Table2113336[Skill], "="&amp;Table914[[#This Row],[Expression of Ideas]],Table2113336[Raw Score], "=0"), IF(PTKEY=5, COUNTIFS(Table211333640[Skill], "="&amp;Table914[[#This Row],[Expression of Ideas]],Table211333640[Raw Score], "=0"),IF(PTKEY=6, COUNTIFS(Table21153[Skill], "="&amp;Table914[[#This Row],[Expression of Ideas]],Table21153[Raw Score], "=0"),IF(PTKEY=7, COUNTIFS(Table2115357[Skill], "="&amp;Table914[[#This Row],[Expression of Ideas]],Table2115357[Raw Score], "=0"),0))))))</f>
        <v>8</v>
      </c>
      <c r="E35" s="35">
        <f>Table914[[#This Row],[Incorrect/Blank]]+Table914[[#This Row],[Correct]]</f>
        <v>8</v>
      </c>
      <c r="F35" s="63">
        <f>IF(Table914[[#This Row],['# of Questions]] &lt;&gt; 0, Table914[[#This Row],[Correct]]/Table914[[#This Row],['# of Questions]], 0)</f>
        <v>0</v>
      </c>
    </row>
    <row r="36" spans="2:6">
      <c r="B36" s="69" t="s">
        <v>63</v>
      </c>
      <c r="C36" s="93">
        <f>IF(PTKEY=2, COUNTIFS(Table211[Skill], "="&amp;Table914[[#This Row],[Expression of Ideas]], Table211[Raw Score], "=1"), IF(PTKEY=3, COUNTIFS(Table21133[Skill], "="&amp;Table914[[#This Row],[Expression of Ideas]], Table21133[Raw Score], "=1"), IF(PTKEY=4, COUNTIFS(Table2113336[Skill], "="&amp;Table914[[#This Row],[Expression of Ideas]],Table2113336[Raw Score], "=1"), IF(PTKEY=5, COUNTIFS(Table211333640[Skill], "="&amp;Table914[[#This Row],[Expression of Ideas]],Table211333640[Raw Score], "=1"),IF(PTKEY=6, COUNTIFS(Table21153[Skill], "="&amp;Table914[[#This Row],[Expression of Ideas]],Table21153[Raw Score], "=1"),IF(PTKEY=7, COUNTIFS(Table2115357[Skill], "="&amp;Table914[[#This Row],[Expression of Ideas]],Table2115357[Raw Score], "=1"),0))))))</f>
        <v>0</v>
      </c>
      <c r="D36" s="93">
        <f>IF(PTKEY=2, COUNTIFS(Table211[Skill], "="&amp;Table914[[#This Row],[Expression of Ideas]], Table211[Raw Score], "=0"), IF(PTKEY=3, COUNTIFS(Table21133[Skill], "="&amp;Table914[[#This Row],[Expression of Ideas]], Table21133[Raw Score], "=0"), IF(PTKEY=4, COUNTIFS(Table2113336[Skill], "="&amp;Table914[[#This Row],[Expression of Ideas]],Table2113336[Raw Score], "=0"), IF(PTKEY=5, COUNTIFS(Table211333640[Skill], "="&amp;Table914[[#This Row],[Expression of Ideas]],Table211333640[Raw Score], "=0"),IF(PTKEY=6, COUNTIFS(Table21153[Skill], "="&amp;Table914[[#This Row],[Expression of Ideas]],Table21153[Raw Score], "=0"),IF(PTKEY=7, COUNTIFS(Table2115357[Skill], "="&amp;Table914[[#This Row],[Expression of Ideas]],Table2115357[Raw Score], "=0"),0))))))</f>
        <v>7</v>
      </c>
      <c r="E36" s="93">
        <f>Table914[[#This Row],[Incorrect/Blank]]+Table914[[#This Row],[Correct]]</f>
        <v>7</v>
      </c>
      <c r="F36" s="63">
        <f>IF(Table914[[#This Row],['# of Questions]] &lt;&gt; 0, Table914[[#This Row],[Correct]]/Table914[[#This Row],['# of Questions]], 0)</f>
        <v>0</v>
      </c>
    </row>
    <row r="37" spans="2:6" ht="15.75" thickBot="1">
      <c r="B37" s="101" t="s">
        <v>64</v>
      </c>
      <c r="C37" s="97">
        <f>IF(PTKEY=2, COUNTIFS(Table211[Skill], "="&amp;Table914[[#This Row],[Expression of Ideas]], Table211[Raw Score], "=1"), IF(PTKEY=3, COUNTIFS(Table21133[Skill], "="&amp;Table914[[#This Row],[Expression of Ideas]], Table21133[Raw Score], "=1"), IF(PTKEY=4, COUNTIFS(Table2113336[Skill], "="&amp;Table914[[#This Row],[Expression of Ideas]],Table2113336[Raw Score], "=1"), IF(PTKEY=5, COUNTIFS(Table211333640[Skill], "="&amp;Table914[[#This Row],[Expression of Ideas]],Table211333640[Raw Score], "=1"),IF(PTKEY=6, COUNTIFS(Table21153[Skill], "="&amp;Table914[[#This Row],[Expression of Ideas]],Table21153[Raw Score], "=1"),IF(PTKEY=7, COUNTIFS(Table2115357[Skill], "="&amp;Table914[[#This Row],[Expression of Ideas]],Table2115357[Raw Score], "=1"),0))))))</f>
        <v>0</v>
      </c>
      <c r="D37" s="97">
        <f>IF(PTKEY=2, COUNTIFS(Table211[Skill], "="&amp;Table914[[#This Row],[Expression of Ideas]], Table211[Raw Score], "=0"), IF(PTKEY=3, COUNTIFS(Table21133[Skill], "="&amp;Table914[[#This Row],[Expression of Ideas]], Table21133[Raw Score], "=0"), IF(PTKEY=4, COUNTIFS(Table2113336[Skill], "="&amp;Table914[[#This Row],[Expression of Ideas]],Table2113336[Raw Score], "=0"), IF(PTKEY=5, COUNTIFS(Table211333640[Skill], "="&amp;Table914[[#This Row],[Expression of Ideas]],Table211333640[Raw Score], "=0"),IF(PTKEY=6, COUNTIFS(Table21153[Skill], "="&amp;Table914[[#This Row],[Expression of Ideas]],Table21153[Raw Score], "=0"),IF(PTKEY=7, COUNTIFS(Table2115357[Skill], "="&amp;Table914[[#This Row],[Expression of Ideas]],Table2115357[Raw Score], "=0"),0))))))</f>
        <v>9</v>
      </c>
      <c r="E37" s="97">
        <f>Table914[[#This Row],[Incorrect/Blank]]+Table914[[#This Row],[Correct]]</f>
        <v>9</v>
      </c>
      <c r="F37" s="98">
        <f>IF(Table914[[#This Row],['# of Questions]] &lt;&gt; 0, Table914[[#This Row],[Correct]]/Table914[[#This Row],['# of Questions]], 0)</f>
        <v>0</v>
      </c>
    </row>
    <row r="38" spans="2:6">
      <c r="B38" s="70" t="s">
        <v>51</v>
      </c>
      <c r="C38" s="65">
        <f t="shared" ref="C38:E38" si="2">SUM(C35:C37)</f>
        <v>0</v>
      </c>
      <c r="D38" s="65">
        <f t="shared" si="2"/>
        <v>24</v>
      </c>
      <c r="E38" s="65">
        <f t="shared" si="2"/>
        <v>24</v>
      </c>
      <c r="F38" s="66">
        <f>IF(Table914[[#This Row],['# of Questions]] &lt;&gt; 0, Table914[[#This Row],[Correct]]/Table914[[#This Row],['# of Questions]], 0)</f>
        <v>0</v>
      </c>
    </row>
    <row r="39" spans="2:6">
      <c r="B39" s="67"/>
      <c r="C39" s="67"/>
      <c r="D39" s="67"/>
      <c r="E39" s="67"/>
      <c r="F39" s="67"/>
    </row>
    <row r="40" spans="2:6">
      <c r="B40" s="67"/>
      <c r="C40" s="67"/>
      <c r="D40" s="67"/>
      <c r="E40" s="67"/>
      <c r="F40" s="67"/>
    </row>
    <row r="41" spans="2:6" s="92" customFormat="1" ht="30">
      <c r="B41" s="110" t="s">
        <v>65</v>
      </c>
      <c r="C41" s="110" t="s">
        <v>69</v>
      </c>
      <c r="D41" s="110" t="s">
        <v>124</v>
      </c>
      <c r="E41" s="110" t="s">
        <v>127</v>
      </c>
      <c r="F41" s="110" t="s">
        <v>50</v>
      </c>
    </row>
    <row r="42" spans="2:6">
      <c r="B42" s="69" t="s">
        <v>66</v>
      </c>
      <c r="C42" s="93">
        <f>IF(PTKEY=2, COUNTIFS(Table211[Skill], "="&amp;Table1015[[#This Row],[Standard English Conventions]], Table211[Raw Score], "=1"), IF(PTKEY=3, COUNTIFS(Table21133[Skill], "="&amp;Table1015[[#This Row],[Standard English Conventions]], Table21133[Raw Score], "=1"), IF(PTKEY=4, COUNTIFS(Table2113336[Skill], "="&amp;Table1015[[#This Row],[Standard English Conventions]],Table2113336[Raw Score], "=1"), IF(PTKEY=5, COUNTIFS(Table211333640[Skill], "="&amp;Table1015[[#This Row],[Standard English Conventions]],Table211333640[Raw Score], "=1"), IF(PTKEY=6, COUNTIFS(Table21153[Skill], "="&amp;Table1015[[#This Row],[Standard English Conventions]],Table21153[Raw Score], "=1"),IF(PTKEY=7, COUNTIFS(Table2115357[Skill], "="&amp;Table1015[[#This Row],[Standard English Conventions]],Table2115357[Raw Score], "=1"),0))))))</f>
        <v>0</v>
      </c>
      <c r="D42" s="93">
        <f>IF(PTKEY=2, COUNTIFS(Table211[Skill], "="&amp;Table1015[[#This Row],[Standard English Conventions]], Table211[Raw Score], "=0"), IF(PTKEY=3, COUNTIFS(Table21133[Skill], "="&amp;Table1015[[#This Row],[Standard English Conventions]], Table21133[Raw Score], "=0"), IF(PTKEY=4, COUNTIFS(Table2113336[Skill], "="&amp;Table1015[[#This Row],[Standard English Conventions]],Table2113336[Raw Score], "=0"), IF(PTKEY=5, COUNTIFS(Table211333640[Skill], "="&amp;Table1015[[#This Row],[Standard English Conventions]],Table211333640[Raw Score], "=0"),IF(PTKEY=6, COUNTIFS(Table21153[Skill], "="&amp;Table1015[[#This Row],[Standard English Conventions]],Table21153[Raw Score], "=0"),IF(PTKEY=7, COUNTIFS(Table2115357[Skill], "="&amp;Table1015[[#This Row],[Standard English Conventions]],Table2115357[Raw Score], "=0"),0))))))</f>
        <v>6</v>
      </c>
      <c r="E42" s="35">
        <f>Table1015[[#This Row],[Incorrect/Blank]]+Table1015[[#This Row],[Correct ]]</f>
        <v>6</v>
      </c>
      <c r="F42" s="63">
        <f>IF(Table1015[[#This Row],['# of Questions]] &lt;&gt; 0, Table1015[[#This Row],[Correct ]]/Table1015[[#This Row],['# of Questions]], 0)</f>
        <v>0</v>
      </c>
    </row>
    <row r="43" spans="2:6">
      <c r="B43" s="69" t="s">
        <v>67</v>
      </c>
      <c r="C43" s="93">
        <f>IF(PTKEY=2, COUNTIFS(Table211[Skill], "="&amp;Table1015[[#This Row],[Standard English Conventions]], Table211[Raw Score], "=1"), IF(PTKEY=3, COUNTIFS(Table21133[Skill], "="&amp;Table1015[[#This Row],[Standard English Conventions]], Table21133[Raw Score], "=1"), IF(PTKEY=4, COUNTIFS(Table2113336[Skill], "="&amp;Table1015[[#This Row],[Standard English Conventions]],Table2113336[Raw Score], "=1"), IF(PTKEY=5, COUNTIFS(Table211333640[Skill], "="&amp;Table1015[[#This Row],[Standard English Conventions]],Table211333640[Raw Score], "=1"), IF(PTKEY=6, COUNTIFS(Table21153[Skill], "="&amp;Table1015[[#This Row],[Standard English Conventions]],Table21153[Raw Score], "=1"),IF(PTKEY=7, COUNTIFS(Table2115357[Skill], "="&amp;Table1015[[#This Row],[Standard English Conventions]],Table2115357[Raw Score], "=1"),0))))))</f>
        <v>0</v>
      </c>
      <c r="D43" s="93">
        <f>IF(PTKEY=2, COUNTIFS(Table211[Skill], "="&amp;Table1015[[#This Row],[Standard English Conventions]], Table211[Raw Score], "=0"), IF(PTKEY=3, COUNTIFS(Table21133[Skill], "="&amp;Table1015[[#This Row],[Standard English Conventions]], Table21133[Raw Score], "=0"), IF(PTKEY=4, COUNTIFS(Table2113336[Skill], "="&amp;Table1015[[#This Row],[Standard English Conventions]],Table2113336[Raw Score], "=0"), IF(PTKEY=5, COUNTIFS(Table211333640[Skill], "="&amp;Table1015[[#This Row],[Standard English Conventions]],Table211333640[Raw Score], "=0"),IF(PTKEY=6, COUNTIFS(Table21153[Skill], "="&amp;Table1015[[#This Row],[Standard English Conventions]],Table21153[Raw Score], "=0"),IF(PTKEY=7, COUNTIFS(Table2115357[Skill], "="&amp;Table1015[[#This Row],[Standard English Conventions]],Table2115357[Raw Score], "=0"),0))))))</f>
        <v>7</v>
      </c>
      <c r="E43" s="93">
        <f>Table1015[[#This Row],[Incorrect/Blank]]+Table1015[[#This Row],[Correct ]]</f>
        <v>7</v>
      </c>
      <c r="F43" s="63">
        <f>IF(Table1015[[#This Row],['# of Questions]] &lt;&gt; 0, Table1015[[#This Row],[Correct ]]/Table1015[[#This Row],['# of Questions]], 0)</f>
        <v>0</v>
      </c>
    </row>
    <row r="44" spans="2:6" ht="15.75" thickBot="1">
      <c r="B44" s="101" t="s">
        <v>68</v>
      </c>
      <c r="C44" s="97">
        <f>IF(PTKEY=2, COUNTIFS(Table211[Skill], "="&amp;Table1015[[#This Row],[Standard English Conventions]], Table211[Raw Score], "=1"), IF(PTKEY=3, COUNTIFS(Table21133[Skill], "="&amp;Table1015[[#This Row],[Standard English Conventions]], Table21133[Raw Score], "=1"), IF(PTKEY=4, COUNTIFS(Table2113336[Skill], "="&amp;Table1015[[#This Row],[Standard English Conventions]],Table2113336[Raw Score], "=1"), IF(PTKEY=5, COUNTIFS(Table211333640[Skill], "="&amp;Table1015[[#This Row],[Standard English Conventions]],Table211333640[Raw Score], "=1"), IF(PTKEY=6, COUNTIFS(Table21153[Skill], "="&amp;Table1015[[#This Row],[Standard English Conventions]],Table21153[Raw Score], "=1"),IF(PTKEY=7, COUNTIFS(Table2115357[Skill], "="&amp;Table1015[[#This Row],[Standard English Conventions]],Table2115357[Raw Score], "=1"),0))))))</f>
        <v>0</v>
      </c>
      <c r="D44" s="97">
        <f>IF(PTKEY=2, COUNTIFS(Table211[Skill], "="&amp;Table1015[[#This Row],[Standard English Conventions]], Table211[Raw Score], "=0"), IF(PTKEY=3, COUNTIFS(Table21133[Skill], "="&amp;Table1015[[#This Row],[Standard English Conventions]], Table21133[Raw Score], "=0"), IF(PTKEY=4, COUNTIFS(Table2113336[Skill], "="&amp;Table1015[[#This Row],[Standard English Conventions]],Table2113336[Raw Score], "=0"), IF(PTKEY=5, COUNTIFS(Table211333640[Skill], "="&amp;Table1015[[#This Row],[Standard English Conventions]],Table211333640[Raw Score], "=0"),IF(PTKEY=6, COUNTIFS(Table21153[Skill], "="&amp;Table1015[[#This Row],[Standard English Conventions]],Table21153[Raw Score], "=0"),IF(PTKEY=7, COUNTIFS(Table2115357[Skill], "="&amp;Table1015[[#This Row],[Standard English Conventions]],Table2115357[Raw Score], "=0"),0))))))</f>
        <v>7</v>
      </c>
      <c r="E44" s="97">
        <f>Table1015[[#This Row],[Incorrect/Blank]]+Table1015[[#This Row],[Correct ]]</f>
        <v>7</v>
      </c>
      <c r="F44" s="98">
        <f>IF(Table1015[[#This Row],['# of Questions]] &lt;&gt; 0, Table1015[[#This Row],[Correct ]]/Table1015[[#This Row],['# of Questions]], 0)</f>
        <v>0</v>
      </c>
    </row>
    <row r="45" spans="2:6">
      <c r="B45" s="71" t="s">
        <v>51</v>
      </c>
      <c r="C45" s="65">
        <f t="shared" ref="C45:E45" si="3">SUM(C42:C44)</f>
        <v>0</v>
      </c>
      <c r="D45" s="65">
        <f t="shared" si="3"/>
        <v>20</v>
      </c>
      <c r="E45" s="65">
        <f t="shared" si="3"/>
        <v>20</v>
      </c>
      <c r="F45" s="66">
        <f>IF(Table1015[[#This Row],['# of Questions]] &lt;&gt; 0, Table1015[[#This Row],[Correct ]]/Table1015[[#This Row],['# of Questions]], 0)</f>
        <v>0</v>
      </c>
    </row>
    <row r="46" spans="2:6">
      <c r="B46" s="67"/>
      <c r="C46" s="67"/>
      <c r="D46" s="67"/>
      <c r="E46" s="67"/>
      <c r="F46" s="67"/>
    </row>
  </sheetData>
  <sheetProtection sheet="1" objects="1" scenarios="1" selectLockedCells="1"/>
  <mergeCells count="3">
    <mergeCell ref="B7:F7"/>
    <mergeCell ref="H7:P7"/>
    <mergeCell ref="B32:F32"/>
  </mergeCells>
  <pageMargins left="0.33088235294117646" right="0.7" top="0.75" bottom="0.75" header="0.3" footer="0.3"/>
  <pageSetup scale="72" orientation="portrait" r:id="rId1"/>
  <headerFooter>
    <oddHeader>&amp;C&amp;G&amp;"-,Bold"&amp;18SAT Report</oddHeader>
    <oddFooter>&amp;C&amp;F</oddFooter>
  </headerFooter>
  <colBreaks count="1" manualBreakCount="1">
    <brk id="6" max="46" man="1"/>
  </colBreaks>
  <legacyDrawingHF r:id="rId2"/>
  <tableParts count="5">
    <tablePart r:id="rId3"/>
    <tablePart r:id="rId4"/>
    <tablePart r:id="rId5"/>
    <tablePart r:id="rId6"/>
    <tablePart r:id="rId7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/>
  <dimension ref="A1:P35"/>
  <sheetViews>
    <sheetView view="pageLayout" topLeftCell="O33" zoomScale="70" zoomScaleSheetLayoutView="100" zoomScalePageLayoutView="70" workbookViewId="0">
      <selection activeCell="P15" sqref="P15"/>
    </sheetView>
  </sheetViews>
  <sheetFormatPr defaultRowHeight="15"/>
  <cols>
    <col min="1" max="1" width="3.28515625" style="75" customWidth="1"/>
    <col min="2" max="2" width="8.42578125" customWidth="1"/>
    <col min="3" max="3" width="4.140625" customWidth="1"/>
    <col min="4" max="4" width="8.85546875" customWidth="1"/>
    <col min="5" max="5" width="8.5703125" customWidth="1"/>
    <col min="6" max="6" width="7.42578125" style="75" customWidth="1"/>
    <col min="7" max="7" width="7.28515625" customWidth="1"/>
    <col min="8" max="8" width="2" customWidth="1"/>
    <col min="9" max="9" width="9" customWidth="1"/>
    <col min="10" max="10" width="9.7109375" customWidth="1"/>
    <col min="11" max="13" width="9" customWidth="1"/>
    <col min="14" max="14" width="7.85546875" customWidth="1"/>
    <col min="15" max="15" width="9" customWidth="1"/>
    <col min="16" max="16" width="25.85546875" customWidth="1"/>
    <col min="17" max="17" width="11" customWidth="1"/>
    <col min="18" max="18" width="12.7109375" customWidth="1"/>
    <col min="20" max="20" width="13.28515625" customWidth="1"/>
    <col min="22" max="22" width="2.7109375" customWidth="1"/>
    <col min="24" max="24" width="9.140625" customWidth="1"/>
  </cols>
  <sheetData>
    <row r="1" spans="2:16">
      <c r="B1" s="75"/>
      <c r="C1" s="75"/>
      <c r="D1" s="75"/>
      <c r="E1" s="75"/>
      <c r="G1" s="75"/>
      <c r="H1" s="75"/>
      <c r="I1" s="75"/>
      <c r="J1" s="75"/>
      <c r="K1" s="75"/>
      <c r="L1" s="75"/>
      <c r="M1" s="75"/>
      <c r="N1" s="75"/>
    </row>
    <row r="2" spans="2:16">
      <c r="B2" s="75"/>
      <c r="C2" s="75"/>
      <c r="D2" s="75"/>
      <c r="E2" s="75"/>
      <c r="G2" s="75"/>
      <c r="H2" s="75"/>
      <c r="I2" s="75"/>
      <c r="J2" s="75"/>
      <c r="K2" s="75"/>
      <c r="L2" s="75"/>
      <c r="M2" s="75"/>
      <c r="N2" s="75"/>
    </row>
    <row r="3" spans="2:16">
      <c r="B3" s="75"/>
      <c r="C3" s="75"/>
      <c r="D3" s="75"/>
      <c r="E3" s="75"/>
      <c r="G3" s="75"/>
      <c r="H3" s="75"/>
      <c r="I3" s="75"/>
      <c r="J3" s="75"/>
      <c r="K3" s="75"/>
      <c r="L3" s="75"/>
      <c r="M3" s="75"/>
      <c r="N3" s="75"/>
    </row>
    <row r="4" spans="2:16">
      <c r="B4" s="75"/>
      <c r="C4" s="75"/>
      <c r="D4" s="75"/>
      <c r="E4" s="75"/>
      <c r="G4" s="75"/>
      <c r="H4" s="75"/>
      <c r="I4" s="75"/>
      <c r="J4" s="75"/>
      <c r="K4" s="75"/>
      <c r="L4" s="75"/>
      <c r="M4" s="75"/>
      <c r="N4" s="75"/>
    </row>
    <row r="5" spans="2:16" ht="57.75" customHeight="1" thickBot="1">
      <c r="B5" s="75"/>
      <c r="C5" s="75"/>
      <c r="D5" s="75"/>
      <c r="E5" s="75"/>
      <c r="G5" s="75"/>
      <c r="H5" s="75"/>
      <c r="I5" s="75"/>
      <c r="J5" s="75"/>
      <c r="K5" s="75"/>
      <c r="L5" s="75"/>
      <c r="M5" s="75"/>
      <c r="N5" s="75"/>
    </row>
    <row r="6" spans="2:16" ht="32.25" customHeight="1">
      <c r="B6" s="48"/>
      <c r="C6" s="49"/>
      <c r="D6" s="49"/>
      <c r="E6" s="49"/>
      <c r="F6" s="49"/>
      <c r="G6" s="49"/>
      <c r="H6" s="49"/>
      <c r="I6" s="49"/>
      <c r="J6" s="49"/>
      <c r="K6" s="320">
        <f>SUM(K9+M9)</f>
        <v>400</v>
      </c>
      <c r="L6" s="320"/>
      <c r="M6" s="320"/>
      <c r="N6" s="112"/>
    </row>
    <row r="7" spans="2:16" ht="36.75" thickBot="1">
      <c r="B7" s="50" t="s">
        <v>34</v>
      </c>
      <c r="C7" s="340" t="str">
        <f>IF(StudentNameInput&lt;&gt;0,StudentNameInput,"")</f>
        <v/>
      </c>
      <c r="D7" s="340"/>
      <c r="E7" s="340"/>
      <c r="F7" s="185"/>
      <c r="G7" s="45"/>
      <c r="H7" s="45"/>
      <c r="I7" s="46" t="s">
        <v>35</v>
      </c>
      <c r="J7" s="45"/>
      <c r="K7" s="321"/>
      <c r="L7" s="321"/>
      <c r="M7" s="321"/>
      <c r="N7" s="113"/>
      <c r="P7" s="75"/>
    </row>
    <row r="8" spans="2:16">
      <c r="B8" s="51"/>
      <c r="C8" s="45"/>
      <c r="D8" s="45"/>
      <c r="E8" s="45"/>
      <c r="F8" s="45"/>
      <c r="G8" s="45"/>
      <c r="H8" s="45"/>
      <c r="I8" s="342" t="s">
        <v>36</v>
      </c>
      <c r="J8" s="342"/>
      <c r="K8" s="45"/>
      <c r="L8" s="45"/>
      <c r="M8" s="45"/>
      <c r="N8" s="114"/>
    </row>
    <row r="9" spans="2:16" ht="24" customHeight="1" thickBot="1">
      <c r="B9" s="50" t="s">
        <v>7</v>
      </c>
      <c r="C9" s="340" t="str">
        <f>IF(PTDropdown="PT 1", "Practice Test # 1", IF(PTDropdown="PT 2", "Practice Test # 2", IF(PTDropdown="PT 3", "Practice Test # 3", IF(PTDropdown="PT 4", "Practice Test # 4", IF(PTDropdown="PT 5", "Practice Test # 5",IF(PTDropdown="PT 6", "Practice Test # 6",""))))))</f>
        <v>Practice Test # 1</v>
      </c>
      <c r="D9" s="340"/>
      <c r="E9" s="340"/>
      <c r="F9" s="185"/>
      <c r="G9" s="45"/>
      <c r="H9" s="45"/>
      <c r="I9" s="342"/>
      <c r="J9" s="342"/>
      <c r="K9" s="44">
        <f>'Raw Score Check'!G61*10</f>
        <v>200</v>
      </c>
      <c r="L9" s="47" t="s">
        <v>37</v>
      </c>
      <c r="M9" s="44">
        <f>IF(PTKEY=2,VLOOKUP(MathRawScore,Table41[],2,),IF(PTKEY=3,VLOOKUP(MathRawScore,Table4141[],2,),IF(PTKEY=4,VLOOKUP(MathRawScore,Table414143[],2,),IF(PTKEY=5,VLOOKUP(MathRawScore,Table41414349[],2,),IF(PTKEY=6,VLOOKUP(MathRawScore,Table4150[#All],2),IF(PTKEY=7,VLOOKUP(MathRawScore,PT6ScaledScoreTable,2),""))))))</f>
        <v>200</v>
      </c>
      <c r="N9" s="115"/>
    </row>
    <row r="10" spans="2:16" s="75" customFormat="1" ht="10.5" customHeight="1">
      <c r="B10" s="50"/>
      <c r="C10" s="185"/>
      <c r="D10" s="185"/>
      <c r="E10" s="185"/>
      <c r="F10" s="185"/>
      <c r="G10" s="45"/>
      <c r="H10" s="45"/>
      <c r="I10" s="285"/>
      <c r="J10" s="285"/>
      <c r="K10" s="286"/>
      <c r="L10" s="47"/>
      <c r="M10" s="286"/>
      <c r="N10" s="115"/>
    </row>
    <row r="11" spans="2:16" s="75" customFormat="1" ht="30.75" thickBot="1">
      <c r="B11" s="50" t="s">
        <v>33</v>
      </c>
      <c r="C11" s="341" t="str">
        <f>IF(DateInput&lt;&gt;0,DateInput,"")</f>
        <v/>
      </c>
      <c r="D11" s="341"/>
      <c r="E11" s="185"/>
      <c r="F11" s="185"/>
      <c r="G11" s="45"/>
      <c r="H11" s="45"/>
      <c r="I11" s="291" t="s">
        <v>219</v>
      </c>
      <c r="J11" s="44">
        <f>'Raw Score Check'!G59</f>
        <v>10</v>
      </c>
      <c r="K11" s="292" t="s">
        <v>220</v>
      </c>
      <c r="L11" s="44">
        <f>'Raw Score Check'!G60</f>
        <v>10</v>
      </c>
      <c r="M11" s="292" t="s">
        <v>221</v>
      </c>
      <c r="N11" s="287">
        <f>M9/20</f>
        <v>10</v>
      </c>
    </row>
    <row r="12" spans="2:16">
      <c r="B12" s="51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114"/>
    </row>
    <row r="13" spans="2:16" ht="19.5" thickBot="1">
      <c r="B13" s="50" t="s">
        <v>154</v>
      </c>
      <c r="C13" s="290" t="str">
        <f>IF(Input!C6="","", Input!C6)</f>
        <v/>
      </c>
      <c r="D13" s="185"/>
      <c r="E13" s="184"/>
      <c r="F13" s="185"/>
      <c r="G13" s="185"/>
      <c r="H13" s="45"/>
      <c r="I13" s="46" t="s">
        <v>38</v>
      </c>
      <c r="J13" s="45"/>
      <c r="K13" s="47" t="s">
        <v>4</v>
      </c>
      <c r="L13" s="47" t="s">
        <v>39</v>
      </c>
      <c r="M13" s="47" t="s">
        <v>5</v>
      </c>
      <c r="N13" s="116"/>
    </row>
    <row r="14" spans="2:16" ht="15.75" thickBot="1">
      <c r="B14" s="52"/>
      <c r="C14" s="53"/>
      <c r="D14" s="53"/>
      <c r="E14" s="53"/>
      <c r="F14" s="53"/>
      <c r="G14" s="53"/>
      <c r="H14" s="53"/>
      <c r="I14" s="53"/>
      <c r="J14" s="53"/>
      <c r="K14" s="177">
        <f>Input!K12</f>
        <v>0</v>
      </c>
      <c r="L14" s="177">
        <f>Input!L12</f>
        <v>0</v>
      </c>
      <c r="M14" s="177">
        <f>Input!M12</f>
        <v>0</v>
      </c>
      <c r="N14" s="117"/>
    </row>
    <row r="15" spans="2:16" ht="47.25" customHeight="1" thickBot="1">
      <c r="B15" s="75"/>
      <c r="C15" s="75"/>
      <c r="D15" s="75"/>
      <c r="E15" s="75"/>
      <c r="G15" s="75"/>
      <c r="H15" s="75"/>
      <c r="I15" s="75"/>
      <c r="J15" s="75"/>
      <c r="K15" s="75"/>
      <c r="L15" s="62"/>
      <c r="M15" s="62"/>
      <c r="N15" s="75"/>
    </row>
    <row r="16" spans="2:16" ht="18.75" customHeight="1">
      <c r="B16" s="331" t="s">
        <v>155</v>
      </c>
      <c r="C16" s="332"/>
      <c r="D16" s="189" t="s">
        <v>47</v>
      </c>
      <c r="E16" s="190" t="s">
        <v>48</v>
      </c>
      <c r="F16" s="190" t="s">
        <v>49</v>
      </c>
      <c r="G16" s="191" t="s">
        <v>156</v>
      </c>
      <c r="H16" s="187"/>
      <c r="I16" s="331" t="s">
        <v>145</v>
      </c>
      <c r="J16" s="332"/>
      <c r="K16" s="189" t="s">
        <v>47</v>
      </c>
      <c r="L16" s="192" t="s">
        <v>48</v>
      </c>
      <c r="M16" s="190" t="s">
        <v>49</v>
      </c>
      <c r="N16" s="193" t="s">
        <v>156</v>
      </c>
    </row>
    <row r="17" spans="2:14" ht="16.5" thickBot="1">
      <c r="B17" s="333"/>
      <c r="C17" s="334"/>
      <c r="D17" s="178">
        <f>'Raw Score Check'!H57</f>
        <v>0</v>
      </c>
      <c r="E17" s="178">
        <f>52-D17-F17</f>
        <v>0</v>
      </c>
      <c r="F17" s="178">
        <f>COUNTBLANK(Input!$C10:$C61)</f>
        <v>52</v>
      </c>
      <c r="G17" s="186">
        <f>D17/SUM(D17:F17)</f>
        <v>0</v>
      </c>
      <c r="H17" s="187"/>
      <c r="I17" s="333"/>
      <c r="J17" s="334"/>
      <c r="K17" s="178">
        <f>'Raw Score Check'!N57</f>
        <v>0</v>
      </c>
      <c r="L17" s="178">
        <f>20-K17-M17</f>
        <v>0</v>
      </c>
      <c r="M17" s="178">
        <f>COUNTBLANK(Input!$G10:$G29)</f>
        <v>20</v>
      </c>
      <c r="N17" s="188">
        <f>K17/SUM(K17:M17)</f>
        <v>0</v>
      </c>
    </row>
    <row r="18" spans="2:14" s="75" customFormat="1" ht="30" customHeight="1" thickBot="1">
      <c r="B18" s="338" t="s">
        <v>70</v>
      </c>
      <c r="C18" s="339"/>
      <c r="D18" s="178">
        <f>'Raw Score Check'!K57</f>
        <v>0</v>
      </c>
      <c r="E18" s="178">
        <f>44-D18-F18</f>
        <v>0</v>
      </c>
      <c r="F18" s="178">
        <f>COUNTBLANK(Input!$E10:$E53)</f>
        <v>44</v>
      </c>
      <c r="G18" s="186">
        <f>D18/SUM(D18:F18)</f>
        <v>0</v>
      </c>
      <c r="H18" s="187"/>
      <c r="I18" s="333" t="s">
        <v>146</v>
      </c>
      <c r="J18" s="334"/>
      <c r="K18" s="178">
        <f>'Raw Score Check'!Q57</f>
        <v>0</v>
      </c>
      <c r="L18" s="178">
        <f>38 - K18-M18</f>
        <v>0</v>
      </c>
      <c r="M18" s="178">
        <f>COUNTBLANK(Input!$I10:$I47)</f>
        <v>38</v>
      </c>
      <c r="N18" s="188">
        <f>K18/SUM(K18:M18)</f>
        <v>0</v>
      </c>
    </row>
    <row r="19" spans="2:14" ht="29.25" customHeight="1" thickBot="1">
      <c r="B19" s="324" t="s">
        <v>50</v>
      </c>
      <c r="C19" s="325"/>
      <c r="D19" s="327">
        <f>SUM(D17:D18)/(SUM(D17:F17) + SUM(D18:F18))</f>
        <v>0</v>
      </c>
      <c r="E19" s="328"/>
      <c r="F19" s="329"/>
      <c r="G19" s="330"/>
      <c r="H19" s="187"/>
      <c r="I19" s="324" t="s">
        <v>50</v>
      </c>
      <c r="J19" s="326"/>
      <c r="K19" s="335">
        <f>SUM(K17:K18)/SUM(K17:M18)</f>
        <v>0</v>
      </c>
      <c r="L19" s="336"/>
      <c r="M19" s="336"/>
      <c r="N19" s="337"/>
    </row>
    <row r="20" spans="2:14" ht="43.5" customHeight="1" thickBot="1">
      <c r="B20" s="323"/>
      <c r="C20" s="323"/>
      <c r="D20" s="55"/>
      <c r="E20" s="55"/>
      <c r="F20" s="55"/>
      <c r="G20" s="55"/>
      <c r="H20" s="55"/>
      <c r="I20" s="322"/>
      <c r="J20" s="322"/>
      <c r="K20" s="55"/>
      <c r="L20" s="55"/>
      <c r="M20" s="55"/>
      <c r="N20" s="55"/>
    </row>
    <row r="21" spans="2:14" ht="29.25" customHeight="1" thickBot="1">
      <c r="B21" s="370" t="s">
        <v>152</v>
      </c>
      <c r="C21" s="354"/>
      <c r="D21" s="354"/>
      <c r="E21" s="354"/>
      <c r="F21" s="354"/>
      <c r="G21" s="354"/>
      <c r="H21" s="354"/>
      <c r="I21" s="354"/>
      <c r="J21" s="354"/>
      <c r="K21" s="354"/>
      <c r="L21" s="354"/>
      <c r="M21" s="354"/>
      <c r="N21" s="355"/>
    </row>
    <row r="22" spans="2:14" ht="29.25" customHeight="1" thickBot="1">
      <c r="B22" s="372" t="s">
        <v>139</v>
      </c>
      <c r="C22" s="372"/>
      <c r="D22" s="372"/>
      <c r="E22" s="356">
        <f>IF(PTKEY=2,VLOOKUP(WordsinContextScore,Table41[],10,),IF(PTKEY=3,VLOOKUP(WordsinContextScore,Table4141[],10,),IF(PTKEY=4,VLOOKUP(WordsinContextScore,Table414143[],10,),IF(PTKEY=5,VLOOKUP(WordsinContextScore,Table41414349[],10,),IF(PTKEY=6,VLOOKUP(WordsinContextScore,'PT 5 Scaled Score Tables'!A2:M61,10,),IF(PTKEY=7,VLOOKUP(WordsinContextScore,PT6ScaledScoreTable,10,),""))))))</f>
        <v>1</v>
      </c>
      <c r="F22" s="367"/>
      <c r="G22" s="140"/>
      <c r="H22" s="138"/>
      <c r="I22" s="358" t="s">
        <v>71</v>
      </c>
      <c r="J22" s="359"/>
      <c r="K22" s="359"/>
      <c r="L22" s="359"/>
      <c r="M22" s="360"/>
      <c r="N22" s="166">
        <f>IF(PTKEY=2,VLOOKUP('Math Report'!C21, Table41[], 7,),IF(PTKEY=3,VLOOKUP('Math Report'!C21, Table41[], 7,),IF(PTKEY=4,VLOOKUP('Math Report'!C21, Table41[], 7,),IF(PTKEY=5,VLOOKUP('Math Report'!C21, Table41[], 7,),IF(PTKEY=6,VLOOKUP('Math Report'!C21, Table4150[#All], 7,),IF(PTKEY=7,VLOOKUP('Math Report'!C21, PT6ScaledScoreTable, 7,),""))))))</f>
        <v>1</v>
      </c>
    </row>
    <row r="23" spans="2:14" ht="29.25" customHeight="1" thickBot="1">
      <c r="B23" s="371" t="s">
        <v>140</v>
      </c>
      <c r="C23" s="371"/>
      <c r="D23" s="371"/>
      <c r="E23" s="368">
        <f>IF(PTKEY=2,VLOOKUP(CommandofEvidenceScore,Table41[],11,),IF(PTKEY=3,VLOOKUP(CommandofEvidenceScore,Table4141[],11,),IF(PTKEY=4,VLOOKUP(CommandofEvidenceScore,Table414143[],11,),IF(PTKEY=5,VLOOKUP(CommandofEvidenceScore,Table41414349[],11,),IF(PTKEY=6,VLOOKUP(CommandofEvidenceScore,'PT 5 Scaled Score Tables'!A2:M61,11,),IF(PTKEY=7,VLOOKUP(CommandofEvidenceScore,PT6ScaledScoreTable,11,),""))))))</f>
        <v>1</v>
      </c>
      <c r="F23" s="369"/>
      <c r="G23" s="84"/>
      <c r="H23" s="84"/>
      <c r="I23" s="361" t="s">
        <v>96</v>
      </c>
      <c r="J23" s="362"/>
      <c r="K23" s="362"/>
      <c r="L23" s="362"/>
      <c r="M23" s="363"/>
      <c r="N23" s="167">
        <f>IF(PTKEY=2,VLOOKUP('Math Report'!C63, Table41[], 8,),IF(PTKEY=3,VLOOKUP('Math Report'!C63, Table41[], 8,),IF(PTKEY=4,VLOOKUP('Math Report'!C63, Table41[], 8,),IF(PTKEY=5,VLOOKUP('Math Report'!C63, Table41[], 8,),IF(PTKEY=6,VLOOKUP('Math Report'!C63, Table4150[#All], 8,),IF(PTKEY=7,VLOOKUP('Math Report'!C63, PT6ScaledScoreTable, 8,),""))))))</f>
        <v>1</v>
      </c>
    </row>
    <row r="24" spans="2:14" ht="30.75" customHeight="1" thickBot="1">
      <c r="B24" s="371" t="s">
        <v>61</v>
      </c>
      <c r="C24" s="371"/>
      <c r="D24" s="371"/>
      <c r="E24" s="368">
        <f>IF(PTKEY=2,VLOOKUP('Reading Report'!C38,Table41[],5,),IF(PTKEY=3,VLOOKUP('Reading Report'!C38,Table4141[],5,),IF(PTKEY=4,VLOOKUP('Reading Report'!C38,Table414143[],5,),IF(PTKEY=5,VLOOKUP('Reading Report'!C38,Table41414349[],5,),IF(PTKEY=6,VLOOKUP('Reading Report'!C38,'PT 5 Scaled Score Tables'!A2:M61,5,),IF(PTKEY=7,VLOOKUP('Reading Report'!C38,PT6ScaledScoreTable,5,),""))))))</f>
        <v>1</v>
      </c>
      <c r="F24" s="369"/>
      <c r="G24" s="84"/>
      <c r="H24" s="84"/>
      <c r="I24" s="364" t="s">
        <v>142</v>
      </c>
      <c r="J24" s="365"/>
      <c r="K24" s="365"/>
      <c r="L24" s="365"/>
      <c r="M24" s="366"/>
      <c r="N24" s="168">
        <f>IF(PTKEY=2,VLOOKUP('Math Report'!C38, Table41[], 9,),IF(PTKEY=3,VLOOKUP('Math Report'!C38, Table41[], 9,),IF(PTKEY=4,VLOOKUP('Math Report'!C38, Table41[], 9,),IF(PTKEY=5,VLOOKUP('Math Report'!C38, Table41[], 9,),IF(PTKEY=6,VLOOKUP('Math Report'!C38, Table4150[#All], 9,),IF(PTKEY=7,VLOOKUP('Math Report'!C38, PT6ScaledScoreTable, 9,),""))))))</f>
        <v>1</v>
      </c>
    </row>
    <row r="25" spans="2:14" ht="44.25" customHeight="1" thickBot="1">
      <c r="B25" s="371" t="s">
        <v>65</v>
      </c>
      <c r="C25" s="371"/>
      <c r="D25" s="371"/>
      <c r="E25" s="368">
        <f>IF(PTKEY=2,VLOOKUP('Reading Report'!C45,Table41[],6,),IF(PTKEY=3,VLOOKUP('Reading Report'!C45,Table4141[],6,),IF(PTKEY=4,VLOOKUP('Reading Report'!C45,Table414143[],6,),IF(PTKEY=5,VLOOKUP('Reading Report'!C45,Table41414349[],6,),IF(PTKEY=6,VLOOKUP('Reading Report'!C45,Table4150[],6,),IF(PTKEY=7,VLOOKUP('Reading Report'!C45,PT6ScaledScoreTable,6,),""))))))</f>
        <v>1</v>
      </c>
      <c r="F25" s="369"/>
      <c r="G25" s="129"/>
      <c r="H25" s="84"/>
      <c r="I25" s="84"/>
      <c r="J25" s="84"/>
      <c r="K25" s="84"/>
      <c r="L25" s="84"/>
      <c r="M25" s="84"/>
      <c r="N25" s="54"/>
    </row>
    <row r="26" spans="2:14" s="75" customFormat="1" ht="26.25" customHeight="1" thickBot="1">
      <c r="B26" s="289"/>
      <c r="C26" s="289"/>
      <c r="D26" s="289"/>
      <c r="E26" s="97"/>
      <c r="F26" s="91"/>
      <c r="G26" s="84"/>
      <c r="H26" s="84"/>
      <c r="I26" s="84"/>
      <c r="J26" s="84"/>
      <c r="K26" s="84"/>
      <c r="L26" s="84"/>
      <c r="M26" s="84"/>
      <c r="N26" s="54"/>
    </row>
    <row r="27" spans="2:14" ht="30" customHeight="1" thickBot="1">
      <c r="B27" s="352" t="s">
        <v>153</v>
      </c>
      <c r="C27" s="353"/>
      <c r="D27" s="353"/>
      <c r="E27" s="353"/>
      <c r="F27" s="353"/>
      <c r="G27" s="354"/>
      <c r="H27" s="354"/>
      <c r="I27" s="354"/>
      <c r="J27" s="354"/>
      <c r="K27" s="354"/>
      <c r="L27" s="354"/>
      <c r="M27" s="354"/>
      <c r="N27" s="355"/>
    </row>
    <row r="28" spans="2:14" ht="30" customHeight="1" thickBot="1">
      <c r="B28" s="356" t="s">
        <v>222</v>
      </c>
      <c r="C28" s="357"/>
      <c r="D28" s="357"/>
      <c r="E28" s="357"/>
      <c r="F28" s="196" t="s">
        <v>157</v>
      </c>
      <c r="G28" s="75"/>
      <c r="H28" s="72"/>
      <c r="I28" s="72"/>
      <c r="J28" s="356" t="s">
        <v>144</v>
      </c>
      <c r="K28" s="357"/>
      <c r="L28" s="357"/>
      <c r="M28" s="367"/>
      <c r="N28" s="196" t="s">
        <v>157</v>
      </c>
    </row>
    <row r="29" spans="2:14" ht="21" customHeight="1" thickBot="1">
      <c r="B29" s="346" t="s">
        <v>4</v>
      </c>
      <c r="C29" s="347"/>
      <c r="D29" s="347"/>
      <c r="E29" s="195">
        <f>SUM(Table46[Reading])</f>
        <v>0</v>
      </c>
      <c r="F29" s="197">
        <f>IF(PTKEY=2,SUM(Table1[History]),IF(PTKEY=3,SUM(Table130[History]),IF(PTKEY=4,SUM(Table13012[History]),IF(PTKEY=5,SUM(Table1301237[History]),IF(PTKEY=6,SUM(Table151[History]),IF(PTKEY=7,SUM(Table15155[History])," "))))))</f>
        <v>21</v>
      </c>
      <c r="G29" s="75"/>
      <c r="H29" s="137"/>
      <c r="I29" s="72"/>
      <c r="J29" s="376" t="s">
        <v>4</v>
      </c>
      <c r="K29" s="377"/>
      <c r="L29" s="378"/>
      <c r="M29" s="169">
        <f>SUM(Table47[Reading])</f>
        <v>0</v>
      </c>
      <c r="N29" s="197">
        <f>IF(PTKEY=2,SUM(Table1[Science]),IF(PTKEY=3,SUM(Table130[Science]),IF(PTKEY = 4,SUM(Table13012[Science]),IF(PTKEY = 5, SUM(Table1301237[Science]), IF(PTKEY = 6, SUM(Table151[Science]),IF(PTKEY = 7, SUM(Table15155[Science])," "))))))</f>
        <v>21</v>
      </c>
    </row>
    <row r="30" spans="2:14" ht="21" customHeight="1" thickBot="1">
      <c r="B30" s="348" t="s">
        <v>5</v>
      </c>
      <c r="C30" s="349"/>
      <c r="D30" s="349"/>
      <c r="E30" s="170">
        <f>SUM(Table46[Writing])</f>
        <v>0</v>
      </c>
      <c r="F30" s="197">
        <f>IF(PTKEY=2,SUM(Table211[History]),IF(PTKEY=3,SUM(Table21133[History]),IF(PTKEY=4,SUM(Table2113336[History]),IF(PTKEY=5,SUM(Table211333640[History]),IF(PTKEY=6,SUM(Table21153[History]),IF(PTKEY=7,SUM(Table2115357[History])," "))))))</f>
        <v>6</v>
      </c>
      <c r="G30" s="75"/>
      <c r="H30" s="137"/>
      <c r="I30" s="72"/>
      <c r="J30" s="379" t="s">
        <v>5</v>
      </c>
      <c r="K30" s="380"/>
      <c r="L30" s="381"/>
      <c r="M30" s="173">
        <f>SUM(Table47[Writing])</f>
        <v>0</v>
      </c>
      <c r="N30" s="197">
        <f>IF(PTKEY=2,SUM(Table211[Science]),IF(PTKEY=3,SUM(Table21133[Science]),IF(PTKEY=4,SUM(Table2113336[Science]),IF(PTKEY=5,SUM(Table211333640[Science]),IF(PTKEY=6,SUM(Table21153[Science]),IF(PTKEY=7,SUM(Table2115357[Science])," "))))))</f>
        <v>6</v>
      </c>
    </row>
    <row r="31" spans="2:14" ht="21" customHeight="1" thickBot="1">
      <c r="B31" s="348" t="s">
        <v>145</v>
      </c>
      <c r="C31" s="349"/>
      <c r="D31" s="349"/>
      <c r="E31" s="171">
        <f>SUM(Table46[Math 1])</f>
        <v>0</v>
      </c>
      <c r="F31" s="197">
        <f>IF(PTKEY=2,SUM(Table45[History]),IF(PTKEY=3,SUM(Table31231[History]),IF(PTKEY =4,SUM(Table3123134[History]),IF(PTKEY = 5, SUM(Table312313438[History]),IF(PTKEY = 6, SUM(Table4554[History]),IF(PTKEY = 7, SUM(Table455458[History]), " "))))))</f>
        <v>2</v>
      </c>
      <c r="G31" s="75"/>
      <c r="H31" s="54"/>
      <c r="I31" s="55"/>
      <c r="J31" s="382" t="s">
        <v>147</v>
      </c>
      <c r="K31" s="383"/>
      <c r="L31" s="384"/>
      <c r="M31" s="173">
        <f>SUM(Table47[Math 1])</f>
        <v>0</v>
      </c>
      <c r="N31" s="197">
        <f>IF(PTKEY=2,SUM(Table45[Science]),IF(PTKEY=3,SUM(Table31231[Science]),IF(PTKEY =4,SUM(Table3123134[Science]),IF(PTKEY = 5, SUM(Table312313438[Science]),IF(PTKEY =6, SUM(Table4554[Science]),IF(PTKEY =7, SUM(Table455458[Science]), " "))))))</f>
        <v>1</v>
      </c>
    </row>
    <row r="32" spans="2:14" ht="21" customHeight="1" thickBot="1">
      <c r="B32" s="350" t="s">
        <v>146</v>
      </c>
      <c r="C32" s="351"/>
      <c r="D32" s="351"/>
      <c r="E32" s="172">
        <f>SUM(Table46[Math 2])</f>
        <v>0</v>
      </c>
      <c r="F32" s="197">
        <f>IF(PTKEY=2,SUM(Table413[History]),IF(PTKEY=3,SUM(Table41332[History]),IF(PTKEY =4,SUM(Table4133235[History]),IF(PTKEY = 5, SUM(Table413323539[History]), IF(PTKEY = 6, SUM(Table41352[History]),IF(PTKEY = 7, SUM(Table4135256[History])," "))))))</f>
        <v>6</v>
      </c>
      <c r="G32" s="75"/>
      <c r="H32" s="54"/>
      <c r="I32" s="55"/>
      <c r="J32" s="385" t="s">
        <v>146</v>
      </c>
      <c r="K32" s="386"/>
      <c r="L32" s="387"/>
      <c r="M32" s="174">
        <f>SUM(Table47[Math 2])</f>
        <v>0</v>
      </c>
      <c r="N32" s="197">
        <f>IF(PTKEY=2,SUM(Table413[Science]),IF(PTKEY=3,SUM(Table41332[Science]),IF(PTKEY =4,SUM(Table4133235[Science]),IF(PTKEY = 5, SUM(Table413323539[Science]), IF(PTKEY = 6, SUM(Table41352[Science]),IF(PTKEY =7, SUM(Table4135256[Science])," "))))))</f>
        <v>7</v>
      </c>
    </row>
    <row r="33" spans="2:15" ht="27" thickBot="1">
      <c r="B33" s="343" t="s">
        <v>149</v>
      </c>
      <c r="C33" s="344"/>
      <c r="D33" s="345"/>
      <c r="E33" s="166">
        <f>IF(PTKEY=2,VLOOKUP(HistoryRawScore,Table41[],12),IF(PTKEY=3,VLOOKUP(HistoryRawScore,Table4141[],12),IF(PTKEY=4,VLOOKUP(HistoryRawScore,Table414143[],12),IF(PTKEY=5,VLOOKUP(HistoryRawScore,Table41414349[],12),IF(PTKEY=6,VLOOKUP(HistoryRawScore,Table4150[],12),IF(PTKEY=7,VLOOKUP(HistoryRawScore,Table415059[],12),""))))))</f>
        <v>10</v>
      </c>
      <c r="F33" s="194">
        <v>40</v>
      </c>
      <c r="G33" s="75"/>
      <c r="H33" s="55"/>
      <c r="I33" s="55"/>
      <c r="J33" s="373" t="s">
        <v>148</v>
      </c>
      <c r="K33" s="374"/>
      <c r="L33" s="375"/>
      <c r="M33" s="166">
        <f>IF(PTKEY=2,VLOOKUP(ScienceRawScore,Table41[],13),IF(PTKEY=3,VLOOKUP(ScienceRawScore,Table4141[],13),IF(PTKEY=4,VLOOKUP(ScienceRawScore,Table414143[],13),IF(PTKEY=5,VLOOKUP(ScienceRawScore,Table41414349[],13),IF(PTKEY=6,VLOOKUP(ScienceRawScore,Table4150[],13),IF(PTKEY=7,VLOOKUP(ScienceRawScore,Table415059[],13),""))))))</f>
        <v>10</v>
      </c>
      <c r="N33" s="194">
        <v>40</v>
      </c>
    </row>
    <row r="34" spans="2:15" ht="30.75" customHeight="1">
      <c r="B34" s="55"/>
      <c r="C34" s="55"/>
      <c r="D34" s="55"/>
      <c r="E34" s="55"/>
      <c r="F34" s="55"/>
      <c r="G34" s="55"/>
      <c r="H34" s="55"/>
      <c r="I34" s="55"/>
      <c r="J34" s="55"/>
      <c r="K34" s="55"/>
      <c r="L34" s="55"/>
      <c r="M34" s="55"/>
      <c r="N34" s="55"/>
      <c r="O34" s="55"/>
    </row>
    <row r="35" spans="2:15" ht="30.75" customHeight="1"/>
  </sheetData>
  <sheetProtection sheet="1" objects="1" scenarios="1" selectLockedCells="1"/>
  <mergeCells count="40">
    <mergeCell ref="J33:L33"/>
    <mergeCell ref="J29:L29"/>
    <mergeCell ref="J30:L30"/>
    <mergeCell ref="J31:L31"/>
    <mergeCell ref="J32:L32"/>
    <mergeCell ref="B21:N21"/>
    <mergeCell ref="B24:D24"/>
    <mergeCell ref="B25:D25"/>
    <mergeCell ref="B22:D22"/>
    <mergeCell ref="B23:D23"/>
    <mergeCell ref="E22:F22"/>
    <mergeCell ref="E23:F23"/>
    <mergeCell ref="E24:F24"/>
    <mergeCell ref="B27:N27"/>
    <mergeCell ref="B28:E28"/>
    <mergeCell ref="I22:M22"/>
    <mergeCell ref="I23:M23"/>
    <mergeCell ref="I24:M24"/>
    <mergeCell ref="J28:M28"/>
    <mergeCell ref="E25:F25"/>
    <mergeCell ref="B33:D33"/>
    <mergeCell ref="B29:D29"/>
    <mergeCell ref="B30:D30"/>
    <mergeCell ref="B31:D31"/>
    <mergeCell ref="B32:D32"/>
    <mergeCell ref="K6:M7"/>
    <mergeCell ref="I20:J20"/>
    <mergeCell ref="B20:C20"/>
    <mergeCell ref="B19:C19"/>
    <mergeCell ref="I19:J19"/>
    <mergeCell ref="D19:G19"/>
    <mergeCell ref="B16:C17"/>
    <mergeCell ref="I16:J17"/>
    <mergeCell ref="K19:N19"/>
    <mergeCell ref="B18:C18"/>
    <mergeCell ref="C7:E7"/>
    <mergeCell ref="C9:E9"/>
    <mergeCell ref="C11:D11"/>
    <mergeCell ref="I18:J18"/>
    <mergeCell ref="I8:J9"/>
  </mergeCells>
  <pageMargins left="0.7" right="0.75" top="0.75" bottom="0.75" header="0.3" footer="0.3"/>
  <pageSetup scale="79" fitToHeight="0" orientation="portrait" r:id="rId1"/>
  <headerFooter>
    <oddHeader>&amp;C&amp;"-,Bold"&amp;18&amp;GSAT REPORT</oddHeader>
  </headerFooter>
  <colBreaks count="1" manualBreakCount="1">
    <brk id="14" max="29" man="1"/>
  </colBreaks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B3:AK62"/>
  <sheetViews>
    <sheetView topLeftCell="A40" zoomScale="70" zoomScaleNormal="70" workbookViewId="0">
      <selection activeCell="AE14" sqref="AE14"/>
    </sheetView>
  </sheetViews>
  <sheetFormatPr defaultColWidth="9.140625" defaultRowHeight="15"/>
  <cols>
    <col min="1" max="3" width="9.140625" style="93"/>
    <col min="4" max="4" width="8.140625" style="93" customWidth="1"/>
    <col min="5" max="5" width="9.42578125" style="93" customWidth="1"/>
    <col min="6" max="6" width="21.140625" style="93" customWidth="1"/>
    <col min="7" max="18" width="9.140625" style="93"/>
    <col min="19" max="19" width="17.42578125" style="93" customWidth="1"/>
    <col min="20" max="20" width="9.85546875" style="93" customWidth="1"/>
    <col min="21" max="21" width="9.42578125" style="93" customWidth="1"/>
    <col min="22" max="26" width="9.140625" style="93"/>
    <col min="27" max="27" width="11.28515625" style="93" customWidth="1"/>
    <col min="28" max="28" width="12.85546875" style="93" customWidth="1"/>
    <col min="29" max="29" width="11.28515625" style="93" customWidth="1"/>
    <col min="30" max="30" width="10.5703125" style="93" customWidth="1"/>
    <col min="31" max="31" width="11" style="93" customWidth="1"/>
    <col min="32" max="32" width="9.140625" style="93"/>
    <col min="33" max="34" width="12.85546875" style="93" customWidth="1"/>
    <col min="35" max="35" width="11.28515625" style="93" customWidth="1"/>
    <col min="36" max="36" width="10.5703125" style="93" customWidth="1"/>
    <col min="37" max="37" width="11" style="93" customWidth="1"/>
    <col min="38" max="16384" width="9.140625" style="93"/>
  </cols>
  <sheetData>
    <row r="3" spans="2:37" ht="30.75" customHeight="1" thickBot="1">
      <c r="B3" s="163" t="s">
        <v>12</v>
      </c>
      <c r="C3" s="163" t="s">
        <v>20</v>
      </c>
      <c r="E3" s="65" t="s">
        <v>20</v>
      </c>
      <c r="G3" s="388" t="s">
        <v>17</v>
      </c>
      <c r="H3" s="388"/>
      <c r="J3" s="389" t="s">
        <v>21</v>
      </c>
      <c r="K3" s="389"/>
      <c r="M3" s="389" t="s">
        <v>22</v>
      </c>
      <c r="N3" s="389"/>
      <c r="O3" s="92"/>
      <c r="P3" s="389" t="s">
        <v>23</v>
      </c>
      <c r="Q3" s="389"/>
      <c r="S3" s="92" t="s">
        <v>139</v>
      </c>
      <c r="T3" s="93" t="s">
        <v>4</v>
      </c>
      <c r="U3" s="93" t="s">
        <v>5</v>
      </c>
      <c r="W3" s="92" t="s">
        <v>140</v>
      </c>
      <c r="X3" s="93" t="s">
        <v>4</v>
      </c>
      <c r="Y3" s="93" t="s">
        <v>5</v>
      </c>
      <c r="AA3" s="93" t="s">
        <v>143</v>
      </c>
      <c r="AB3" s="93" t="s">
        <v>4</v>
      </c>
      <c r="AC3" s="93" t="s">
        <v>5</v>
      </c>
      <c r="AD3" s="93" t="s">
        <v>30</v>
      </c>
      <c r="AE3" s="93" t="s">
        <v>31</v>
      </c>
      <c r="AG3" s="93" t="s">
        <v>144</v>
      </c>
      <c r="AH3" s="93" t="s">
        <v>4</v>
      </c>
      <c r="AI3" s="93" t="s">
        <v>5</v>
      </c>
      <c r="AJ3" s="93" t="s">
        <v>30</v>
      </c>
      <c r="AK3" s="93" t="s">
        <v>31</v>
      </c>
    </row>
    <row r="4" spans="2:37" ht="15.75" thickBot="1">
      <c r="B4" s="164" t="s">
        <v>8</v>
      </c>
      <c r="C4" s="164">
        <v>2</v>
      </c>
      <c r="E4" s="139">
        <f>VLOOKUP(PTDropdown,PracticeTests[#All],2,FALSE)</f>
        <v>2</v>
      </c>
      <c r="G4" s="156">
        <v>1</v>
      </c>
      <c r="H4" s="157">
        <f>IF(Input!C10=(VLOOKUP(Input!B10,Table2[#All],PTKEY,TRUE)), 1, 0)</f>
        <v>0</v>
      </c>
      <c r="J4" s="156">
        <v>1</v>
      </c>
      <c r="K4" s="157">
        <f>IF(Input!E10=(VLOOKUP(Input!D10,Table3[#All],PTKEY,TRUE)), 1, 0)</f>
        <v>0</v>
      </c>
      <c r="M4" s="156">
        <v>1</v>
      </c>
      <c r="N4" s="157">
        <f>IF(Input!G10=(VLOOKUP(Input!F10,Table7[#All],PTKEY,TRUE)), 1, 0)</f>
        <v>0</v>
      </c>
      <c r="P4" s="156">
        <v>1</v>
      </c>
      <c r="Q4" s="157">
        <f>IF(Input!I10=(VLOOKUP(Input!H10,Table5[#All],PTKEY,TRUE)), 1, 0)</f>
        <v>0</v>
      </c>
      <c r="S4" s="93">
        <v>1</v>
      </c>
      <c r="T4" s="93">
        <f>IF(PTKEY=2,IF(AND('PT 1 Skill Tables'!F5=1,'PT 1 Skill Tables'!E5=1),1,0),IF(PTKEY=3,IF(AND('PT 2 Skill Tables'!F5=1,'PT 2 Skill Tables'!E5=1),1,0),IF(PTKEY=4,IF(AND('PT 3 Skill Tables'!F5=1,'PT 3 Skill Tables'!E5=1),1,0),IF(PTKEY=5,IF(AND('PT 4 Skill Tables'!F5=1,'PT 4 Skill Tables'!E5=1),1,0),IF(PTKEY=6,IF(AND('PT 5 Skill Tables'!F5=1,'PT 5 Skill Tables'!E5=1),1,0),IF(PTKEY=7,IF(AND('PT 6 Skill Tables'!F5=1,'PT 6 Skill Tables'!E5=1),1,0),""))))))</f>
        <v>0</v>
      </c>
      <c r="U4" s="93">
        <f>IF(PTKEY=2,IF(AND('PT 1 Skill Tables'!O5=1,'PT 1 Skill Tables'!N5=1),1,0),IF(PTKEY=3,IF(AND('PT 2 Skill Tables'!O5=1,'PT 2 Skill Tables'!N5=1),1,0),IF(PTKEY=4,IF(AND('PT 3 Skill Tables'!O5=1,'PT 3 Skill Tables'!N5=1),1,0),IF(PTKEY=5,IF(AND('PT 4 Skill Tables'!O5=1,'PT 4 Skill Tables'!N5=1),1,0),IF(PTKEY=6,IF(AND('PT 5 Skill Tables'!O5=1,'PT 5 Skill Tables'!N5=1),1,0),IF(PTKEY=7,IF(AND('PT 6 Skill Tables'!O5=1,'PT 6 Skill Tables'!N5=1),1,0),""))))))</f>
        <v>0</v>
      </c>
      <c r="W4" s="93">
        <v>1</v>
      </c>
      <c r="X4" s="93">
        <f>IF(PTKEY=2,IF(AND('PT 1 Skill Tables'!G5=1,'PT 1 Skill Tables'!E5=1),1,0),IF(PTKEY=3,IF(AND('PT 2 Skill Tables'!G5=1,'PT 2 Skill Tables'!E5=1),1,0),IF(PTKEY=4,IF(AND('PT 3 Skill Tables'!G5=1,'PT 3 Skill Tables'!E5=1),1,0),IF(PTKEY=5,IF(AND('PT 4 Skill Tables'!G5=1,'PT 4 Skill Tables'!E5=1),1,0),IF(PTKEY=6,IF(AND('PT 5 Skill Tables'!G5=1,'PT 5 Skill Tables'!E5=1),1,0),IF(PTKEY=7,IF(AND('PT 6 Skill Tables'!G5=1,'PT 6 Skill Tables'!E5=1),1,0),""))))))</f>
        <v>0</v>
      </c>
      <c r="Y4" s="93">
        <f>IF(PTKEY=2,IF(AND('PT 1 Skill Tables'!P5=1,'PT 1 Skill Tables'!N5=1),1,0),IF(PTKEY=3,IF(AND('PT 2 Skill Tables'!P5=1,'PT 2 Skill Tables'!N5=1),1,0),IF(PTKEY=4,IF(AND('PT 3 Skill Tables'!P5=1,'PT 3 Skill Tables'!N5=1),1,0),IF(PTKEY=5,IF(AND('PT 4 Skill Tables'!P5=1,'PT 4 Skill Tables'!N5=1),1,0),IF(PTKEY=6,IF(AND('PT 5 Skill Tables'!P5=1,'PT 5 Skill Tables'!N5=1),1,0),IF(PTKEY=7,IF(AND('PT 6 Skill Tables'!P5=1,'PT 6 Skill Tables'!N5=1),1,0),""))))))</f>
        <v>0</v>
      </c>
      <c r="AA4" s="135">
        <v>1</v>
      </c>
      <c r="AB4" s="93">
        <f>IF(PTKEY=2, IF(AND('PT 1 Skill Tables'!H5=1,'PT 1 Skill Tables'!E5=1), 1, 0), IF(PTKEY=3,IF(AND('PT 2 Skill Tables'!H5=1,'PT 2 Skill Tables'!E5=1), 1, 0),IF(PTKEY=4,IF(AND('PT 3 Skill Tables'!H5=1,'PT 3 Skill Tables'!E5=1), 1, 0), IF(PTKEY=5,IF(AND('PT 4 Skill Tables'!H5=1,'PT 4 Skill Tables'!E5=1), 1, 0),IF(PTKEY=6,IF(AND('PT 5 Skill Tables'!H5=1,'PT 5 Skill Tables'!E5=1),1,0),IF(PTKEY=7,IF(AND('PT 6 Skill Tables'!H5=1,'PT 6 Skill Tables'!E5=1),1,0),""))))))</f>
        <v>0</v>
      </c>
      <c r="AC4" s="93">
        <f>IF(PTKEY=2, IF(AND('PT 1 Skill Tables'!Q5=1,'PT 1 Skill Tables'!N5=1), 1, 0), IF(PTKEY=3,IF(AND('PT 2 Skill Tables'!Q5=1,'PT 2 Skill Tables'!N5=1), 1, 0),IF(PTKEY=4,IF(AND('PT 3 Skill Tables'!Q5=1,'PT 3 Skill Tables'!N5=1), 1, 0), IF(PTKEY=5,IF(AND('PT 4 Skill Tables'!Q5=1,'PT 4 Skill Tables'!N5=1), 1, 0),IF(PTKEY=6,IF(AND('PT 5 Skill Tables'!Q5=1,'PT 5 Skill Tables'!N5=1),1,0),IF(PTKEY=7,IF(AND('PT 6 Skill Tables'!Q5=1,'PT 6 Skill Tables'!N5=1),1,0),""))))))</f>
        <v>0</v>
      </c>
      <c r="AD4" s="93">
        <f>IF(PTKEY=2, IF(AND('PT 1 Skill Tables'!X5=1,'PT 1 Skill Tables'!W5=1), 1, 0), IF(PTKEY=3,IF(AND('PT 2 Skill Tables'!X5=1,'PT 2 Skill Tables'!W5=1), 1, 0),IF(PTKEY=4,IF(AND('PT 3 Skill Tables'!X5=1,'PT 3 Skill Tables'!W5=1), 1, 0),IF(PTKEY=5,IF(AND('PT 4 Skill Tables'!X5=1,'PT 4 Skill Tables'!W5=1), 1, 0),IF(PTKEY=6,IF(AND('PT 5 Skill Tables'!X5=1,'PT 5 Skill Tables'!W5=1),1,0), IF(PTKEY=7,IF(AND('PT 6 Skill Tables'!X5=1,'PT 6 Skill Tables'!W5=1),1,0),""))))))</f>
        <v>0</v>
      </c>
      <c r="AE4" s="93">
        <f>IF(PTKEY=2, IF(AND('PT 1 Skill Tables'!AE5=1,'PT 1 Skill Tables'!AD5=1), 1, 0), IF(PTKEY=3,IF(AND('PT 2 Skill Tables'!AE5=1,'PT 2 Skill Tables'!AD5=1), 1, 0),IF(PTKEY=4,IF(AND('PT 3 Skill Tables'!AE5=1,'PT 3 Skill Tables'!AD5=1), 1, 0),IF(PTKEY=5,IF(AND('PT 4 Skill Tables'!AE5=1,'PT 4 Skill Tables'!AD5=1), 1, 0),IF(PTKEY=6,IF(AND('PT 5 Skill Tables'!AE5=1,'PT 5 Skill Tables'!AD5=1),1,0),IF(PTKEY=7,IF(AND('PT 6 Skill Tables'!AE5=1,'PT 6 Skill Tables'!AD5=1),1,0),""))))))</f>
        <v>0</v>
      </c>
      <c r="AG4" s="93">
        <v>1</v>
      </c>
      <c r="AH4" s="93">
        <f>IF(PTKEY=2, IF(AND('PT 1 Skill Tables'!I5=1,'PT 1 Skill Tables'!E5=1), 1, 0), IF(PTKEY=3,IF(AND('PT 2 Skill Tables'!I5=1,'PT 2 Skill Tables'!E5=1), 1, 0), IF(PTKEY=4,IF(AND('PT 3 Skill Tables'!I5=1,'PT 3 Skill Tables'!E5=1), 1, 0),IF(PTKEY=5,IF(AND('PT 4 Skill Tables'!I5=1,'PT 4 Skill Tables'!E5=1), 1, 0),IF(PTKEY=6,IF(AND('PT 5 Skill Tables'!I5=1,'PT 5 Skill Tables'!E5=1),1,0),IF(PTKEY=7,IF(AND('PT 6 Skill Tables'!I5=1,'PT 6 Skill Tables'!E5=1),1,0),""))))))</f>
        <v>0</v>
      </c>
      <c r="AI4" s="93">
        <f>IF(PTKEY=2,IF(AND('PT 1 Skill Tables'!R5=1,'PT 1 Skill Tables'!N5=1),1,0),IF(PTKEY=3,IF(AND('PT 2 Skill Tables'!R5=1,'PT 2 Skill Tables'!N5=1),1,0),IF(PTKEY=4,IF(AND('PT 3 Skill Tables'!R5=1,'PT 3 Skill Tables'!N5=1),1,0),IF(PTKEY=5,IF(AND('PT 4 Skill Tables'!R5=1,'PT 4 Skill Tables'!N5=1),1,0),IF(PTKEY=6,IF(AND('PT 5 Skill Tables'!R5=1,'PT 5 Skill Tables'!N5=1),1,0),IF(PTKEY=7,IF(AND('PT 6 Skill Tables'!R5=1,'PT 6 Skill Tables'!N5=1),1,0),""))))))</f>
        <v>0</v>
      </c>
      <c r="AJ4" s="93">
        <f>IF(PTKEY=2,IF(AND('PT 1 Skill Tables'!Y5=1,'PT 1 Skill Tables'!W5=1),1,0),IF(PTKEY=3,IF(AND('PT 2 Skill Tables'!Y5=1,'PT 2 Skill Tables'!W5=1),1,0),IF(PTKEY=4,IF(AND('PT 3 Skill Tables'!Y5=1,'PT 3 Skill Tables'!W5=1),1,0),IF(PTKEY=5,IF(AND('PT 4 Skill Tables'!Y5=1,'PT 4 Skill Tables'!W5=1),1,0),IF(PTKEY=6,IF(AND('PT 5 Skill Tables'!Y5=1,'PT 5 Skill Tables'!W5=1),1,0),IF(PTKEY=7,IF(AND('PT 6 Skill Tables'!Y5=1,'PT 6 Skill Tables'!W5=1),1,0),""))))))</f>
        <v>0</v>
      </c>
      <c r="AK4" s="93">
        <f>IF(PTKEY=2,IF(AND('PT 1 Skill Tables'!AF5=1,'PT 1 Skill Tables'!AD5=1),1,0),IF(PTKEY=3,IF(AND('PT 2 Skill Tables'!AF5=1,'PT 2 Skill Tables'!AD5=1),1,0),IF(PTKEY=4,IF(AND('PT 3 Skill Tables'!AF5=1,'PT 3 Skill Tables'!AD5=1),1,0),IF(PTKEY=5,IF(AND('PT 4 Skill Tables'!AF5=1,'PT 4 Skill Tables'!AD5=1),1,0),IF(PTKEY=6,IF(AND('PT 5 Skill Tables'!AF5=1,'PT 5 Skill Tables'!AD5=1),1,0),IF(PTKEY=7,IF(AND('PT 6 Skill Tables'!AF5=1,'PT 6 Skill Tables'!AD5=1),1,0),""))))))</f>
        <v>0</v>
      </c>
    </row>
    <row r="5" spans="2:37">
      <c r="B5" s="164" t="s">
        <v>9</v>
      </c>
      <c r="C5" s="164">
        <v>3</v>
      </c>
      <c r="G5" s="158">
        <v>2</v>
      </c>
      <c r="H5" s="159">
        <f>IF(Input!C11=(VLOOKUP(Input!B11,Table2[#All],PTKEY,TRUE)), 1, 0)</f>
        <v>0</v>
      </c>
      <c r="J5" s="158">
        <v>2</v>
      </c>
      <c r="K5" s="159">
        <f>IF(Input!E11=(VLOOKUP(Input!D11,Table3[#All],PTKEY,TRUE)), 1, 0)</f>
        <v>0</v>
      </c>
      <c r="M5" s="158">
        <v>2</v>
      </c>
      <c r="N5" s="159">
        <f>IF(Input!G11=(VLOOKUP(Input!F11,Table7[#All],PTKEY,TRUE)), 1, 0)</f>
        <v>0</v>
      </c>
      <c r="P5" s="158">
        <v>2</v>
      </c>
      <c r="Q5" s="159">
        <f>IF(Input!I11=(VLOOKUP(Input!H11,Table5[#All],PTKEY,TRUE)), 1, 0)</f>
        <v>0</v>
      </c>
      <c r="S5" s="93">
        <v>2</v>
      </c>
      <c r="T5" s="93">
        <f>IF(PTKEY=2,IF(AND('PT 1 Skill Tables'!F6=1,'PT 1 Skill Tables'!E6=1),1,0),IF(PTKEY=3,IF(AND('PT 2 Skill Tables'!F6=1,'PT 2 Skill Tables'!E6=1),1,0),IF(PTKEY=4,IF(AND('PT 3 Skill Tables'!F6=1,'PT 3 Skill Tables'!E6=1),1,0),IF(PTKEY=5,IF(AND('PT 4 Skill Tables'!F6=1,'PT 4 Skill Tables'!E6=1),1,0),IF(PTKEY=6,IF(AND('PT 5 Skill Tables'!F6=1,'PT 5 Skill Tables'!E6=1),1,0),IF(PTKEY=7,IF(AND('PT 6 Skill Tables'!F6=1,'PT 6 Skill Tables'!E6=1),1,0),""))))))</f>
        <v>0</v>
      </c>
      <c r="U5" s="93">
        <f>IF(PTKEY=2,IF(AND('PT 1 Skill Tables'!O6=1,'PT 1 Skill Tables'!N6=1),1,0),IF(PTKEY=3,IF(AND('PT 2 Skill Tables'!O6=1,'PT 2 Skill Tables'!N6=1),1,0),IF(PTKEY=4,IF(AND('PT 3 Skill Tables'!O6=1,'PT 3 Skill Tables'!N6=1),1,0),IF(PTKEY=5,IF(AND('PT 4 Skill Tables'!O6=1,'PT 4 Skill Tables'!N6=1),1,0),IF(PTKEY=6,IF(AND('PT 5 Skill Tables'!O6=1,'PT 5 Skill Tables'!N6=1),1,0),IF(PTKEY=7,IF(AND('PT 6 Skill Tables'!O6=1,'PT 6 Skill Tables'!N6=1),1,0),""))))))</f>
        <v>0</v>
      </c>
      <c r="W5" s="93">
        <v>2</v>
      </c>
      <c r="X5" s="93">
        <f>IF(PTKEY=2,IF(AND('PT 1 Skill Tables'!G6=1,'PT 1 Skill Tables'!E6=1),1,0),IF(PTKEY=3,IF(AND('PT 2 Skill Tables'!G6=1,'PT 2 Skill Tables'!E6=1),1,0),IF(PTKEY=4,IF(AND('PT 3 Skill Tables'!G6=1,'PT 3 Skill Tables'!E6=1),1,0),IF(PTKEY=5,IF(AND('PT 4 Skill Tables'!G6=1,'PT 4 Skill Tables'!E6=1),1,0),IF(PTKEY=6,IF(AND('PT 5 Skill Tables'!G6=1,'PT 5 Skill Tables'!E6=1),1,0),IF(PTKEY=7,IF(AND('PT 6 Skill Tables'!G6=1,'PT 6 Skill Tables'!E6=1),1,0),""))))))</f>
        <v>0</v>
      </c>
      <c r="Y5" s="93">
        <f>IF(PTKEY=2,IF(AND('PT 1 Skill Tables'!P6=1,'PT 1 Skill Tables'!N6=1),1,0),IF(PTKEY=3,IF(AND('PT 2 Skill Tables'!P6=1,'PT 2 Skill Tables'!N6=1),1,0),IF(PTKEY=4,IF(AND('PT 3 Skill Tables'!P6=1,'PT 3 Skill Tables'!N6=1),1,0),IF(PTKEY=5,IF(AND('PT 4 Skill Tables'!P6=1,'PT 4 Skill Tables'!N6=1),1,0),IF(PTKEY=6,IF(AND('PT 5 Skill Tables'!P6=1,'PT 5 Skill Tables'!N6=1),1,0),IF(PTKEY=7,IF(AND('PT 6 Skill Tables'!P6=1,'PT 6 Skill Tables'!N6=1),1,0),""))))))</f>
        <v>0</v>
      </c>
      <c r="AA5" s="136">
        <v>2</v>
      </c>
      <c r="AB5" s="93">
        <f>IF(PTKEY=2, IF(AND('PT 1 Skill Tables'!H6=1,'PT 1 Skill Tables'!E6=1), 1, 0), IF(PTKEY=3,IF(AND('PT 2 Skill Tables'!H6=1,'PT 2 Skill Tables'!E6=1), 1, 0),IF(PTKEY=4,IF(AND('PT 3 Skill Tables'!H6=1,'PT 3 Skill Tables'!E6=1), 1, 0), IF(PTKEY=5,IF(AND('PT 4 Skill Tables'!H6=1,'PT 4 Skill Tables'!E6=1), 1, 0),IF(PTKEY=6,IF(AND('PT 5 Skill Tables'!H6=1,'PT 5 Skill Tables'!E6=1),1,0),IF(PTKEY=7,IF(AND('PT 6 Skill Tables'!H6=1,'PT 6 Skill Tables'!E6=1),1,0),""))))))</f>
        <v>0</v>
      </c>
      <c r="AC5" s="93">
        <f>IF(PTKEY=2, IF(AND('PT 1 Skill Tables'!Q6=1,'PT 1 Skill Tables'!N6=1), 1, 0), IF(PTKEY=3,IF(AND('PT 2 Skill Tables'!Q6=1,'PT 2 Skill Tables'!N6=1), 1, 0),IF(PTKEY=4,IF(AND('PT 3 Skill Tables'!Q6=1,'PT 3 Skill Tables'!N6=1), 1, 0), IF(PTKEY=5,IF(AND('PT 4 Skill Tables'!Q6=1,'PT 4 Skill Tables'!N6=1), 1, 0),IF(PTKEY=6,IF(AND('PT 5 Skill Tables'!Q6=1,'PT 5 Skill Tables'!N6=1),1,0),IF(PTKEY=7,IF(AND('PT 6 Skill Tables'!Q6=1,'PT 6 Skill Tables'!N6=1),1,0),""))))))</f>
        <v>0</v>
      </c>
      <c r="AD5" s="93">
        <f>IF(PTKEY=2, IF(AND('PT 1 Skill Tables'!X6=1,'PT 1 Skill Tables'!W6=1), 1, 0), IF(PTKEY=3,IF(AND('PT 2 Skill Tables'!X6=1,'PT 2 Skill Tables'!W6=1), 1, 0),IF(PTKEY=4,IF(AND('PT 3 Skill Tables'!X6=1,'PT 3 Skill Tables'!W6=1), 1, 0),IF(PTKEY=5,IF(AND('PT 4 Skill Tables'!X6=1,'PT 4 Skill Tables'!W6=1), 1, 0),IF(PTKEY=6,IF(AND('PT 5 Skill Tables'!X6=1,'PT 5 Skill Tables'!W6=1),1,0), IF(PTKEY=7,IF(AND('PT 6 Skill Tables'!X6=1,'PT 6 Skill Tables'!W6=1),1,0),""))))))</f>
        <v>0</v>
      </c>
      <c r="AE5" s="93">
        <f>IF(PTKEY=2, IF(AND('PT 1 Skill Tables'!AE6=1,'PT 1 Skill Tables'!AD6=1), 1, 0), IF(PTKEY=3,IF(AND('PT 2 Skill Tables'!AE6=1,'PT 2 Skill Tables'!AD6=1), 1, 0),IF(PTKEY=4,IF(AND('PT 3 Skill Tables'!AE6=1,'PT 3 Skill Tables'!AD6=1), 1, 0),IF(PTKEY=5,IF(AND('PT 4 Skill Tables'!AE6=1,'PT 4 Skill Tables'!AD6=1), 1, 0),IF(PTKEY=6,IF(AND('PT 5 Skill Tables'!AE6=1,'PT 5 Skill Tables'!AD6=1),1,0),IF(PTKEY=7,IF(AND('PT 6 Skill Tables'!AE6=1,'PT 6 Skill Tables'!AD6=1),1,0),""))))))</f>
        <v>0</v>
      </c>
      <c r="AG5" s="93">
        <v>2</v>
      </c>
      <c r="AH5" s="93">
        <f>IF(PTKEY=2, IF(AND('PT 1 Skill Tables'!I6=1,'PT 1 Skill Tables'!E6=1), 1, 0), IF(PTKEY=3,IF(AND('PT 2 Skill Tables'!I6=1,'PT 2 Skill Tables'!E6=1), 1, 0), IF(PTKEY=4,IF(AND('PT 3 Skill Tables'!I6=1,'PT 3 Skill Tables'!E6=1), 1, 0),IF(PTKEY=5,IF(AND('PT 4 Skill Tables'!I6=1,'PT 4 Skill Tables'!E6=1), 1, 0),IF(PTKEY=6,IF(AND('PT 5 Skill Tables'!I6=1,'PT 5 Skill Tables'!E6=1),1,0),IF(PTKEY=7,IF(AND('PT 6 Skill Tables'!I6=1,'PT 6 Skill Tables'!E6=1),1,0),""))))))</f>
        <v>0</v>
      </c>
      <c r="AI5" s="93">
        <f>IF(PTKEY=2,IF(AND('PT 1 Skill Tables'!R6=1,'PT 1 Skill Tables'!N6=1),1,0),IF(PTKEY=3,IF(AND('PT 2 Skill Tables'!R6=1,'PT 2 Skill Tables'!N6=1),1,0),IF(PTKEY=4,IF(AND('PT 3 Skill Tables'!R6=1,'PT 3 Skill Tables'!N6=1),1,0),IF(PTKEY=5,IF(AND('PT 4 Skill Tables'!R6=1,'PT 4 Skill Tables'!N6=1),1,0),IF(PTKEY=6,IF(AND('PT 5 Skill Tables'!R6=1,'PT 5 Skill Tables'!N6=1),1,0),IF(PTKEY=7,IF(AND('PT 6 Skill Tables'!R6=1,'PT 6 Skill Tables'!N6=1),1,0),""))))))</f>
        <v>0</v>
      </c>
      <c r="AJ5" s="93">
        <f>IF(PTKEY=2,IF(AND('PT 1 Skill Tables'!Y6=1,'PT 1 Skill Tables'!W6=1),1,0),IF(PTKEY=3,IF(AND('PT 2 Skill Tables'!Y6=1,'PT 2 Skill Tables'!W6=1),1,0),IF(PTKEY=4,IF(AND('PT 3 Skill Tables'!Y6=1,'PT 3 Skill Tables'!W6=1),1,0),IF(PTKEY=5,IF(AND('PT 4 Skill Tables'!Y6=1,'PT 4 Skill Tables'!W6=1),1,0),IF(PTKEY=6,IF(AND('PT 5 Skill Tables'!Y6=1,'PT 5 Skill Tables'!W6=1),1,0),IF(PTKEY=7,IF(AND('PT 6 Skill Tables'!Y6=1,'PT 6 Skill Tables'!W6=1),1,0),""))))))</f>
        <v>0</v>
      </c>
      <c r="AK5" s="93">
        <f>IF(PTKEY=2,IF(AND('PT 1 Skill Tables'!AF6=1,'PT 1 Skill Tables'!AD6=1),1,0),IF(PTKEY=3,IF(AND('PT 2 Skill Tables'!AF6=1,'PT 2 Skill Tables'!AD6=1),1,0),IF(PTKEY=4,IF(AND('PT 3 Skill Tables'!AF6=1,'PT 3 Skill Tables'!AD6=1),1,0),IF(PTKEY=5,IF(AND('PT 4 Skill Tables'!AF6=1,'PT 4 Skill Tables'!AD6=1),1,0),IF(PTKEY=6,IF(AND('PT 5 Skill Tables'!AF6=1,'PT 5 Skill Tables'!AD6=1),1,0),IF(PTKEY=7,IF(AND('PT 6 Skill Tables'!AF6=1,'PT 6 Skill Tables'!AD6=1),1,0),""))))))</f>
        <v>0</v>
      </c>
    </row>
    <row r="6" spans="2:37">
      <c r="B6" s="164" t="s">
        <v>10</v>
      </c>
      <c r="C6" s="164">
        <v>4</v>
      </c>
      <c r="G6" s="160">
        <v>3</v>
      </c>
      <c r="H6" s="159">
        <f>IF(Input!C12=(VLOOKUP(Input!B12,Table2[#All],PTKEY,TRUE)), 1, 0)</f>
        <v>0</v>
      </c>
      <c r="J6" s="160">
        <v>3</v>
      </c>
      <c r="K6" s="159">
        <f>IF(Input!E12=(VLOOKUP(Input!D12,Table3[#All],PTKEY,TRUE)), 1, 0)</f>
        <v>0</v>
      </c>
      <c r="M6" s="160">
        <v>3</v>
      </c>
      <c r="N6" s="159">
        <f>IF(Input!G12=(VLOOKUP(Input!F12,Table7[#All],PTKEY,TRUE)), 1, 0)</f>
        <v>0</v>
      </c>
      <c r="P6" s="160">
        <v>3</v>
      </c>
      <c r="Q6" s="159">
        <f>IF(Input!I12=(VLOOKUP(Input!H12,Table5[#All],PTKEY,TRUE)), 1, 0)</f>
        <v>0</v>
      </c>
      <c r="S6" s="93">
        <v>3</v>
      </c>
      <c r="T6" s="93">
        <f>IF(PTKEY=2,IF(AND('PT 1 Skill Tables'!F7=1,'PT 1 Skill Tables'!E7=1),1,0),IF(PTKEY=3,IF(AND('PT 2 Skill Tables'!F7=1,'PT 2 Skill Tables'!E7=1),1,0),IF(PTKEY=4,IF(AND('PT 3 Skill Tables'!F7=1,'PT 3 Skill Tables'!E7=1),1,0),IF(PTKEY=5,IF(AND('PT 4 Skill Tables'!F7=1,'PT 4 Skill Tables'!E7=1),1,0),IF(PTKEY=6,IF(AND('PT 5 Skill Tables'!F7=1,'PT 5 Skill Tables'!E7=1),1,0),IF(PTKEY=7,IF(AND('PT 6 Skill Tables'!F7=1,'PT 6 Skill Tables'!E7=1),1,0),""))))))</f>
        <v>0</v>
      </c>
      <c r="U6" s="93">
        <f>IF(PTKEY=2,IF(AND('PT 1 Skill Tables'!O7=1,'PT 1 Skill Tables'!N7=1),1,0),IF(PTKEY=3,IF(AND('PT 2 Skill Tables'!O7=1,'PT 2 Skill Tables'!N7=1),1,0),IF(PTKEY=4,IF(AND('PT 3 Skill Tables'!O7=1,'PT 3 Skill Tables'!N7=1),1,0),IF(PTKEY=5,IF(AND('PT 4 Skill Tables'!O7=1,'PT 4 Skill Tables'!N7=1),1,0),IF(PTKEY=6,IF(AND('PT 5 Skill Tables'!O7=1,'PT 5 Skill Tables'!N7=1),1,0),IF(PTKEY=7,IF(AND('PT 6 Skill Tables'!O7=1,'PT 6 Skill Tables'!N7=1),1,0),""))))))</f>
        <v>0</v>
      </c>
      <c r="W6" s="93">
        <v>3</v>
      </c>
      <c r="X6" s="93">
        <f>IF(PTKEY=2,IF(AND('PT 1 Skill Tables'!G7=1,'PT 1 Skill Tables'!E7=1),1,0),IF(PTKEY=3,IF(AND('PT 2 Skill Tables'!G7=1,'PT 2 Skill Tables'!E7=1),1,0),IF(PTKEY=4,IF(AND('PT 3 Skill Tables'!G7=1,'PT 3 Skill Tables'!E7=1),1,0),IF(PTKEY=5,IF(AND('PT 4 Skill Tables'!G7=1,'PT 4 Skill Tables'!E7=1),1,0),IF(PTKEY=6,IF(AND('PT 5 Skill Tables'!G7=1,'PT 5 Skill Tables'!E7=1),1,0),IF(PTKEY=7,IF(AND('PT 6 Skill Tables'!G7=1,'PT 6 Skill Tables'!E7=1),1,0),""))))))</f>
        <v>0</v>
      </c>
      <c r="Y6" s="93">
        <f>IF(PTKEY=2,IF(AND('PT 1 Skill Tables'!P7=1,'PT 1 Skill Tables'!N7=1),1,0),IF(PTKEY=3,IF(AND('PT 2 Skill Tables'!P7=1,'PT 2 Skill Tables'!N7=1),1,0),IF(PTKEY=4,IF(AND('PT 3 Skill Tables'!P7=1,'PT 3 Skill Tables'!N7=1),1,0),IF(PTKEY=5,IF(AND('PT 4 Skill Tables'!P7=1,'PT 4 Skill Tables'!N7=1),1,0),IF(PTKEY=6,IF(AND('PT 5 Skill Tables'!P7=1,'PT 5 Skill Tables'!N7=1),1,0),IF(PTKEY=7,IF(AND('PT 6 Skill Tables'!P7=1,'PT 6 Skill Tables'!N7=1),1,0),""))))))</f>
        <v>0</v>
      </c>
      <c r="AA6" s="135">
        <v>3</v>
      </c>
      <c r="AB6" s="93">
        <f>IF(PTKEY=2, IF(AND('PT 1 Skill Tables'!H7=1,'PT 1 Skill Tables'!E7=1), 1, 0), IF(PTKEY=3,IF(AND('PT 2 Skill Tables'!H7=1,'PT 2 Skill Tables'!E7=1), 1, 0),IF(PTKEY=4,IF(AND('PT 3 Skill Tables'!H7=1,'PT 3 Skill Tables'!E7=1), 1, 0), IF(PTKEY=5,IF(AND('PT 4 Skill Tables'!H7=1,'PT 4 Skill Tables'!E7=1), 1, 0),IF(PTKEY=6,IF(AND('PT 5 Skill Tables'!H7=1,'PT 5 Skill Tables'!E7=1),1,0),IF(PTKEY=7,IF(AND('PT 6 Skill Tables'!H7=1,'PT 6 Skill Tables'!E7=1),1,0),""))))))</f>
        <v>0</v>
      </c>
      <c r="AC6" s="93">
        <f>IF(PTKEY=2, IF(AND('PT 1 Skill Tables'!Q7=1,'PT 1 Skill Tables'!N7=1), 1, 0), IF(PTKEY=3,IF(AND('PT 2 Skill Tables'!Q7=1,'PT 2 Skill Tables'!N7=1), 1, 0),IF(PTKEY=4,IF(AND('PT 3 Skill Tables'!Q7=1,'PT 3 Skill Tables'!N7=1), 1, 0), IF(PTKEY=5,IF(AND('PT 4 Skill Tables'!Q7=1,'PT 4 Skill Tables'!N7=1), 1, 0),IF(PTKEY=6,IF(AND('PT 5 Skill Tables'!Q7=1,'PT 5 Skill Tables'!N7=1),1,0),IF(PTKEY=7,IF(AND('PT 6 Skill Tables'!Q7=1,'PT 6 Skill Tables'!N7=1),1,0),""))))))</f>
        <v>0</v>
      </c>
      <c r="AD6" s="93">
        <f>IF(PTKEY=2, IF(AND('PT 1 Skill Tables'!X7=1,'PT 1 Skill Tables'!W7=1), 1, 0), IF(PTKEY=3,IF(AND('PT 2 Skill Tables'!X7=1,'PT 2 Skill Tables'!W7=1), 1, 0),IF(PTKEY=4,IF(AND('PT 3 Skill Tables'!X7=1,'PT 3 Skill Tables'!W7=1), 1, 0),IF(PTKEY=5,IF(AND('PT 4 Skill Tables'!X7=1,'PT 4 Skill Tables'!W7=1), 1, 0),IF(PTKEY=6,IF(AND('PT 5 Skill Tables'!X7=1,'PT 5 Skill Tables'!W7=1),1,0), IF(PTKEY=7,IF(AND('PT 6 Skill Tables'!X7=1,'PT 6 Skill Tables'!W7=1),1,0),""))))))</f>
        <v>0</v>
      </c>
      <c r="AE6" s="93">
        <f>IF(PTKEY=2, IF(AND('PT 1 Skill Tables'!AE7=1,'PT 1 Skill Tables'!AD7=1), 1, 0), IF(PTKEY=3,IF(AND('PT 2 Skill Tables'!AE7=1,'PT 2 Skill Tables'!AD7=1), 1, 0),IF(PTKEY=4,IF(AND('PT 3 Skill Tables'!AE7=1,'PT 3 Skill Tables'!AD7=1), 1, 0),IF(PTKEY=5,IF(AND('PT 4 Skill Tables'!AE7=1,'PT 4 Skill Tables'!AD7=1), 1, 0),IF(PTKEY=6,IF(AND('PT 5 Skill Tables'!AE7=1,'PT 5 Skill Tables'!AD7=1),1,0),IF(PTKEY=7,IF(AND('PT 6 Skill Tables'!AE7=1,'PT 6 Skill Tables'!AD7=1),1,0),""))))))</f>
        <v>0</v>
      </c>
      <c r="AG6" s="93">
        <v>3</v>
      </c>
      <c r="AH6" s="93">
        <f>IF(PTKEY=2, IF(AND('PT 1 Skill Tables'!I7=1,'PT 1 Skill Tables'!E7=1), 1, 0), IF(PTKEY=3,IF(AND('PT 2 Skill Tables'!I7=1,'PT 2 Skill Tables'!E7=1), 1, 0), IF(PTKEY=4,IF(AND('PT 3 Skill Tables'!I7=1,'PT 3 Skill Tables'!E7=1), 1, 0),IF(PTKEY=5,IF(AND('PT 4 Skill Tables'!I7=1,'PT 4 Skill Tables'!E7=1), 1, 0),IF(PTKEY=6,IF(AND('PT 5 Skill Tables'!I7=1,'PT 5 Skill Tables'!E7=1),1,0),IF(PTKEY=7,IF(AND('PT 6 Skill Tables'!I7=1,'PT 6 Skill Tables'!E7=1),1,0),""))))))</f>
        <v>0</v>
      </c>
      <c r="AI6" s="93">
        <f>IF(PTKEY=2,IF(AND('PT 1 Skill Tables'!R7=1,'PT 1 Skill Tables'!N7=1),1,0),IF(PTKEY=3,IF(AND('PT 2 Skill Tables'!R7=1,'PT 2 Skill Tables'!N7=1),1,0),IF(PTKEY=4,IF(AND('PT 3 Skill Tables'!R7=1,'PT 3 Skill Tables'!N7=1),1,0),IF(PTKEY=5,IF(AND('PT 4 Skill Tables'!R7=1,'PT 4 Skill Tables'!N7=1),1,0),IF(PTKEY=6,IF(AND('PT 5 Skill Tables'!R7=1,'PT 5 Skill Tables'!N7=1),1,0),IF(PTKEY=7,IF(AND('PT 6 Skill Tables'!R7=1,'PT 6 Skill Tables'!N7=1),1,0),""))))))</f>
        <v>0</v>
      </c>
      <c r="AJ6" s="93">
        <f>IF(PTKEY=2,IF(AND('PT 1 Skill Tables'!Y7=1,'PT 1 Skill Tables'!W7=1),1,0),IF(PTKEY=3,IF(AND('PT 2 Skill Tables'!Y7=1,'PT 2 Skill Tables'!W7=1),1,0),IF(PTKEY=4,IF(AND('PT 3 Skill Tables'!Y7=1,'PT 3 Skill Tables'!W7=1),1,0),IF(PTKEY=5,IF(AND('PT 4 Skill Tables'!Y7=1,'PT 4 Skill Tables'!W7=1),1,0),IF(PTKEY=6,IF(AND('PT 5 Skill Tables'!Y7=1,'PT 5 Skill Tables'!W7=1),1,0),IF(PTKEY=7,IF(AND('PT 6 Skill Tables'!Y7=1,'PT 6 Skill Tables'!W7=1),1,0),""))))))</f>
        <v>0</v>
      </c>
      <c r="AK6" s="93">
        <f>IF(PTKEY=2,IF(AND('PT 1 Skill Tables'!AF7=1,'PT 1 Skill Tables'!AD7=1),1,0),IF(PTKEY=3,IF(AND('PT 2 Skill Tables'!AF7=1,'PT 2 Skill Tables'!AD7=1),1,0),IF(PTKEY=4,IF(AND('PT 3 Skill Tables'!AF7=1,'PT 3 Skill Tables'!AD7=1),1,0),IF(PTKEY=5,IF(AND('PT 4 Skill Tables'!AF7=1,'PT 4 Skill Tables'!AD7=1),1,0),IF(PTKEY=6,IF(AND('PT 5 Skill Tables'!AF7=1,'PT 5 Skill Tables'!AD7=1),1,0),IF(PTKEY=7,IF(AND('PT 6 Skill Tables'!AF7=1,'PT 6 Skill Tables'!AD7=1),1,0),""))))))</f>
        <v>0</v>
      </c>
    </row>
    <row r="7" spans="2:37">
      <c r="B7" s="164" t="s">
        <v>11</v>
      </c>
      <c r="C7" s="164">
        <v>5</v>
      </c>
      <c r="G7" s="158">
        <v>4</v>
      </c>
      <c r="H7" s="159">
        <f>IF(Input!C13=(VLOOKUP(Input!B13,Table2[#All],PTKEY,TRUE)), 1, 0)</f>
        <v>0</v>
      </c>
      <c r="J7" s="158">
        <v>4</v>
      </c>
      <c r="K7" s="159">
        <f>IF(Input!E13=(VLOOKUP(Input!D13,Table3[#All],PTKEY,TRUE)), 1, 0)</f>
        <v>0</v>
      </c>
      <c r="M7" s="158">
        <v>4</v>
      </c>
      <c r="N7" s="159">
        <f>IF(Input!G13=(VLOOKUP(Input!F13,Table7[#All],PTKEY,TRUE)), 1, 0)</f>
        <v>0</v>
      </c>
      <c r="P7" s="158">
        <v>4</v>
      </c>
      <c r="Q7" s="159">
        <f>IF(Input!I13=(VLOOKUP(Input!H13,Table5[#All],PTKEY,TRUE)), 1, 0)</f>
        <v>0</v>
      </c>
      <c r="S7" s="93">
        <v>4</v>
      </c>
      <c r="T7" s="93">
        <f>IF(PTKEY=2,IF(AND('PT 1 Skill Tables'!F8=1,'PT 1 Skill Tables'!E8=1),1,0),IF(PTKEY=3,IF(AND('PT 2 Skill Tables'!F8=1,'PT 2 Skill Tables'!E8=1),1,0),IF(PTKEY=4,IF(AND('PT 3 Skill Tables'!F8=1,'PT 3 Skill Tables'!E8=1),1,0),IF(PTKEY=5,IF(AND('PT 4 Skill Tables'!F8=1,'PT 4 Skill Tables'!E8=1),1,0),IF(PTKEY=6,IF(AND('PT 5 Skill Tables'!F8=1,'PT 5 Skill Tables'!E8=1),1,0),IF(PTKEY=7,IF(AND('PT 6 Skill Tables'!F8=1,'PT 6 Skill Tables'!E8=1),1,0),""))))))</f>
        <v>0</v>
      </c>
      <c r="U7" s="93">
        <f>IF(PTKEY=2,IF(AND('PT 1 Skill Tables'!O8=1,'PT 1 Skill Tables'!N8=1),1,0),IF(PTKEY=3,IF(AND('PT 2 Skill Tables'!O8=1,'PT 2 Skill Tables'!N8=1),1,0),IF(PTKEY=4,IF(AND('PT 3 Skill Tables'!O8=1,'PT 3 Skill Tables'!N8=1),1,0),IF(PTKEY=5,IF(AND('PT 4 Skill Tables'!O8=1,'PT 4 Skill Tables'!N8=1),1,0),IF(PTKEY=6,IF(AND('PT 5 Skill Tables'!O8=1,'PT 5 Skill Tables'!N8=1),1,0),IF(PTKEY=7,IF(AND('PT 6 Skill Tables'!O8=1,'PT 6 Skill Tables'!N8=1),1,0),""))))))</f>
        <v>0</v>
      </c>
      <c r="W7" s="93">
        <v>4</v>
      </c>
      <c r="X7" s="93">
        <f>IF(PTKEY=2,IF(AND('PT 1 Skill Tables'!G8=1,'PT 1 Skill Tables'!E8=1),1,0),IF(PTKEY=3,IF(AND('PT 2 Skill Tables'!G8=1,'PT 2 Skill Tables'!E8=1),1,0),IF(PTKEY=4,IF(AND('PT 3 Skill Tables'!G8=1,'PT 3 Skill Tables'!E8=1),1,0),IF(PTKEY=5,IF(AND('PT 4 Skill Tables'!G8=1,'PT 4 Skill Tables'!E8=1),1,0),IF(PTKEY=6,IF(AND('PT 5 Skill Tables'!G8=1,'PT 5 Skill Tables'!E8=1),1,0),IF(PTKEY=7,IF(AND('PT 6 Skill Tables'!G8=1,'PT 6 Skill Tables'!E8=1),1,0),""))))))</f>
        <v>0</v>
      </c>
      <c r="Y7" s="93">
        <f>IF(PTKEY=2,IF(AND('PT 1 Skill Tables'!P8=1,'PT 1 Skill Tables'!N8=1),1,0),IF(PTKEY=3,IF(AND('PT 2 Skill Tables'!P8=1,'PT 2 Skill Tables'!N8=1),1,0),IF(PTKEY=4,IF(AND('PT 3 Skill Tables'!P8=1,'PT 3 Skill Tables'!N8=1),1,0),IF(PTKEY=5,IF(AND('PT 4 Skill Tables'!P8=1,'PT 4 Skill Tables'!N8=1),1,0),IF(PTKEY=6,IF(AND('PT 5 Skill Tables'!P8=1,'PT 5 Skill Tables'!N8=1),1,0),IF(PTKEY=7,IF(AND('PT 6 Skill Tables'!P8=1,'PT 6 Skill Tables'!N8=1),1,0),""))))))</f>
        <v>0</v>
      </c>
      <c r="AA7" s="136">
        <v>4</v>
      </c>
      <c r="AB7" s="93">
        <f>IF(PTKEY=2, IF(AND('PT 1 Skill Tables'!H8=1,'PT 1 Skill Tables'!E8=1), 1, 0), IF(PTKEY=3,IF(AND('PT 2 Skill Tables'!H8=1,'PT 2 Skill Tables'!E8=1), 1, 0),IF(PTKEY=4,IF(AND('PT 3 Skill Tables'!H8=1,'PT 3 Skill Tables'!E8=1), 1, 0), IF(PTKEY=5,IF(AND('PT 4 Skill Tables'!H8=1,'PT 4 Skill Tables'!E8=1), 1, 0),IF(PTKEY=6,IF(AND('PT 5 Skill Tables'!H8=1,'PT 5 Skill Tables'!E8=1),1,0),IF(PTKEY=7,IF(AND('PT 6 Skill Tables'!H8=1,'PT 6 Skill Tables'!E8=1),1,0),""))))))</f>
        <v>0</v>
      </c>
      <c r="AC7" s="93">
        <f>IF(PTKEY=2, IF(AND('PT 1 Skill Tables'!Q8=1,'PT 1 Skill Tables'!N8=1), 1, 0), IF(PTKEY=3,IF(AND('PT 2 Skill Tables'!Q8=1,'PT 2 Skill Tables'!N8=1), 1, 0),IF(PTKEY=4,IF(AND('PT 3 Skill Tables'!Q8=1,'PT 3 Skill Tables'!N8=1), 1, 0), IF(PTKEY=5,IF(AND('PT 4 Skill Tables'!Q8=1,'PT 4 Skill Tables'!N8=1), 1, 0),IF(PTKEY=6,IF(AND('PT 5 Skill Tables'!Q8=1,'PT 5 Skill Tables'!N8=1),1,0),IF(PTKEY=7,IF(AND('PT 6 Skill Tables'!Q8=1,'PT 6 Skill Tables'!N8=1),1,0),""))))))</f>
        <v>0</v>
      </c>
      <c r="AD7" s="93">
        <f>IF(PTKEY=2, IF(AND('PT 1 Skill Tables'!X8=1,'PT 1 Skill Tables'!W8=1), 1, 0), IF(PTKEY=3,IF(AND('PT 2 Skill Tables'!X8=1,'PT 2 Skill Tables'!W8=1), 1, 0),IF(PTKEY=4,IF(AND('PT 3 Skill Tables'!X8=1,'PT 3 Skill Tables'!W8=1), 1, 0),IF(PTKEY=5,IF(AND('PT 4 Skill Tables'!X8=1,'PT 4 Skill Tables'!W8=1), 1, 0),IF(PTKEY=6,IF(AND('PT 5 Skill Tables'!X8=1,'PT 5 Skill Tables'!W8=1),1,0), IF(PTKEY=7,IF(AND('PT 6 Skill Tables'!X8=1,'PT 6 Skill Tables'!W8=1),1,0),""))))))</f>
        <v>0</v>
      </c>
      <c r="AE7" s="93">
        <f>IF(PTKEY=2, IF(AND('PT 1 Skill Tables'!AE8=1,'PT 1 Skill Tables'!AD8=1), 1, 0), IF(PTKEY=3,IF(AND('PT 2 Skill Tables'!AE8=1,'PT 2 Skill Tables'!AD8=1), 1, 0),IF(PTKEY=4,IF(AND('PT 3 Skill Tables'!AE8=1,'PT 3 Skill Tables'!AD8=1), 1, 0),IF(PTKEY=5,IF(AND('PT 4 Skill Tables'!AE8=1,'PT 4 Skill Tables'!AD8=1), 1, 0),IF(PTKEY=6,IF(AND('PT 5 Skill Tables'!AE8=1,'PT 5 Skill Tables'!AD8=1),1,0),IF(PTKEY=7,IF(AND('PT 6 Skill Tables'!AE8=1,'PT 6 Skill Tables'!AD8=1),1,0),""))))))</f>
        <v>0</v>
      </c>
      <c r="AG7" s="93">
        <v>4</v>
      </c>
      <c r="AH7" s="93">
        <f>IF(PTKEY=2, IF(AND('PT 1 Skill Tables'!I8=1,'PT 1 Skill Tables'!E8=1), 1, 0), IF(PTKEY=3,IF(AND('PT 2 Skill Tables'!I8=1,'PT 2 Skill Tables'!E8=1), 1, 0), IF(PTKEY=4,IF(AND('PT 3 Skill Tables'!I8=1,'PT 3 Skill Tables'!E8=1), 1, 0),IF(PTKEY=5,IF(AND('PT 4 Skill Tables'!I8=1,'PT 4 Skill Tables'!E8=1), 1, 0),IF(PTKEY=6,IF(AND('PT 5 Skill Tables'!I8=1,'PT 5 Skill Tables'!E8=1),1,0),IF(PTKEY=7,IF(AND('PT 6 Skill Tables'!I8=1,'PT 6 Skill Tables'!E8=1),1,0),""))))))</f>
        <v>0</v>
      </c>
      <c r="AI7" s="93">
        <f>IF(PTKEY=2,IF(AND('PT 1 Skill Tables'!R8=1,'PT 1 Skill Tables'!N8=1),1,0),IF(PTKEY=3,IF(AND('PT 2 Skill Tables'!R8=1,'PT 2 Skill Tables'!N8=1),1,0),IF(PTKEY=4,IF(AND('PT 3 Skill Tables'!R8=1,'PT 3 Skill Tables'!N8=1),1,0),IF(PTKEY=5,IF(AND('PT 4 Skill Tables'!R8=1,'PT 4 Skill Tables'!N8=1),1,0),IF(PTKEY=6,IF(AND('PT 5 Skill Tables'!R8=1,'PT 5 Skill Tables'!N8=1),1,0),IF(PTKEY=7,IF(AND('PT 6 Skill Tables'!R8=1,'PT 6 Skill Tables'!N8=1),1,0),""))))))</f>
        <v>0</v>
      </c>
      <c r="AJ7" s="93">
        <f>IF(PTKEY=2,IF(AND('PT 1 Skill Tables'!Y8=1,'PT 1 Skill Tables'!W8=1),1,0),IF(PTKEY=3,IF(AND('PT 2 Skill Tables'!Y8=1,'PT 2 Skill Tables'!W8=1),1,0),IF(PTKEY=4,IF(AND('PT 3 Skill Tables'!Y8=1,'PT 3 Skill Tables'!W8=1),1,0),IF(PTKEY=5,IF(AND('PT 4 Skill Tables'!Y8=1,'PT 4 Skill Tables'!W8=1),1,0),IF(PTKEY=6,IF(AND('PT 5 Skill Tables'!Y8=1,'PT 5 Skill Tables'!W8=1),1,0),IF(PTKEY=7,IF(AND('PT 6 Skill Tables'!Y8=1,'PT 6 Skill Tables'!W8=1),1,0),""))))))</f>
        <v>0</v>
      </c>
      <c r="AK7" s="93">
        <f>IF(PTKEY=2,IF(AND('PT 1 Skill Tables'!AF8=1,'PT 1 Skill Tables'!AD8=1),1,0),IF(PTKEY=3,IF(AND('PT 2 Skill Tables'!AF8=1,'PT 2 Skill Tables'!AD8=1),1,0),IF(PTKEY=4,IF(AND('PT 3 Skill Tables'!AF8=1,'PT 3 Skill Tables'!AD8=1),1,0),IF(PTKEY=5,IF(AND('PT 4 Skill Tables'!AF8=1,'PT 4 Skill Tables'!AD8=1),1,0),IF(PTKEY=6,IF(AND('PT 5 Skill Tables'!AF8=1,'PT 5 Skill Tables'!AD8=1),1,0),IF(PTKEY=7,IF(AND('PT 6 Skill Tables'!AF8=1,'PT 6 Skill Tables'!AD8=1),1,0),""))))))</f>
        <v>0</v>
      </c>
    </row>
    <row r="8" spans="2:37">
      <c r="B8" s="164" t="s">
        <v>213</v>
      </c>
      <c r="C8" s="164">
        <v>6</v>
      </c>
      <c r="G8" s="160">
        <v>5</v>
      </c>
      <c r="H8" s="159">
        <f>IF(Input!C14=(VLOOKUP(Input!B14,Table2[#All],PTKEY,TRUE)), 1, 0)</f>
        <v>0</v>
      </c>
      <c r="J8" s="160">
        <v>5</v>
      </c>
      <c r="K8" s="159">
        <f>IF(Input!E14=(VLOOKUP(Input!D14,Table3[#All],PTKEY,TRUE)), 1, 0)</f>
        <v>0</v>
      </c>
      <c r="M8" s="160">
        <v>5</v>
      </c>
      <c r="N8" s="159">
        <f>IF(Input!G14=(VLOOKUP(Input!F14,Table7[#All],PTKEY,TRUE)), 1, 0)</f>
        <v>0</v>
      </c>
      <c r="P8" s="160">
        <v>5</v>
      </c>
      <c r="Q8" s="159">
        <f>IF(Input!I14=(VLOOKUP(Input!H14,Table5[#All],PTKEY,TRUE)), 1, 0)</f>
        <v>0</v>
      </c>
      <c r="S8" s="93">
        <v>5</v>
      </c>
      <c r="T8" s="93">
        <f>IF(PTKEY=2,IF(AND('PT 1 Skill Tables'!F9=1,'PT 1 Skill Tables'!E9=1),1,0),IF(PTKEY=3,IF(AND('PT 2 Skill Tables'!F9=1,'PT 2 Skill Tables'!E9=1),1,0),IF(PTKEY=4,IF(AND('PT 3 Skill Tables'!F9=1,'PT 3 Skill Tables'!E9=1),1,0),IF(PTKEY=5,IF(AND('PT 4 Skill Tables'!F9=1,'PT 4 Skill Tables'!E9=1),1,0),IF(PTKEY=6,IF(AND('PT 5 Skill Tables'!F9=1,'PT 5 Skill Tables'!E9=1),1,0),IF(PTKEY=7,IF(AND('PT 6 Skill Tables'!F9=1,'PT 6 Skill Tables'!E9=1),1,0),""))))))</f>
        <v>0</v>
      </c>
      <c r="U8" s="93">
        <f>IF(PTKEY=2,IF(AND('PT 1 Skill Tables'!O9=1,'PT 1 Skill Tables'!N9=1),1,0),IF(PTKEY=3,IF(AND('PT 2 Skill Tables'!O9=1,'PT 2 Skill Tables'!N9=1),1,0),IF(PTKEY=4,IF(AND('PT 3 Skill Tables'!O9=1,'PT 3 Skill Tables'!N9=1),1,0),IF(PTKEY=5,IF(AND('PT 4 Skill Tables'!O9=1,'PT 4 Skill Tables'!N9=1),1,0),IF(PTKEY=6,IF(AND('PT 5 Skill Tables'!O9=1,'PT 5 Skill Tables'!N9=1),1,0),IF(PTKEY=7,IF(AND('PT 6 Skill Tables'!O9=1,'PT 6 Skill Tables'!N9=1),1,0),""))))))</f>
        <v>0</v>
      </c>
      <c r="W8" s="93">
        <v>5</v>
      </c>
      <c r="X8" s="93">
        <f>IF(PTKEY=2,IF(AND('PT 1 Skill Tables'!G9=1,'PT 1 Skill Tables'!E9=1),1,0),IF(PTKEY=3,IF(AND('PT 2 Skill Tables'!G9=1,'PT 2 Skill Tables'!E9=1),1,0),IF(PTKEY=4,IF(AND('PT 3 Skill Tables'!G9=1,'PT 3 Skill Tables'!E9=1),1,0),IF(PTKEY=5,IF(AND('PT 4 Skill Tables'!G9=1,'PT 4 Skill Tables'!E9=1),1,0),IF(PTKEY=6,IF(AND('PT 5 Skill Tables'!G9=1,'PT 5 Skill Tables'!E9=1),1,0),IF(PTKEY=7,IF(AND('PT 6 Skill Tables'!G9=1,'PT 6 Skill Tables'!E9=1),1,0),""))))))</f>
        <v>0</v>
      </c>
      <c r="Y8" s="93">
        <f>IF(PTKEY=2,IF(AND('PT 1 Skill Tables'!P9=1,'PT 1 Skill Tables'!N9=1),1,0),IF(PTKEY=3,IF(AND('PT 2 Skill Tables'!P9=1,'PT 2 Skill Tables'!N9=1),1,0),IF(PTKEY=4,IF(AND('PT 3 Skill Tables'!P9=1,'PT 3 Skill Tables'!N9=1),1,0),IF(PTKEY=5,IF(AND('PT 4 Skill Tables'!P9=1,'PT 4 Skill Tables'!N9=1),1,0),IF(PTKEY=6,IF(AND('PT 5 Skill Tables'!P9=1,'PT 5 Skill Tables'!N9=1),1,0),IF(PTKEY=7,IF(AND('PT 6 Skill Tables'!P9=1,'PT 6 Skill Tables'!N9=1),1,0),""))))))</f>
        <v>0</v>
      </c>
      <c r="AA8" s="135">
        <v>5</v>
      </c>
      <c r="AB8" s="93">
        <f>IF(PTKEY=2, IF(AND('PT 1 Skill Tables'!H9=1,'PT 1 Skill Tables'!E9=1), 1, 0), IF(PTKEY=3,IF(AND('PT 2 Skill Tables'!H9=1,'PT 2 Skill Tables'!E9=1), 1, 0),IF(PTKEY=4,IF(AND('PT 3 Skill Tables'!H9=1,'PT 3 Skill Tables'!E9=1), 1, 0), IF(PTKEY=5,IF(AND('PT 4 Skill Tables'!H9=1,'PT 4 Skill Tables'!E9=1), 1, 0),IF(PTKEY=6,IF(AND('PT 5 Skill Tables'!H9=1,'PT 5 Skill Tables'!E9=1),1,0),IF(PTKEY=7,IF(AND('PT 6 Skill Tables'!H9=1,'PT 6 Skill Tables'!E9=1),1,0),""))))))</f>
        <v>0</v>
      </c>
      <c r="AC8" s="93">
        <f>IF(PTKEY=2, IF(AND('PT 1 Skill Tables'!Q9=1,'PT 1 Skill Tables'!N9=1), 1, 0), IF(PTKEY=3,IF(AND('PT 2 Skill Tables'!Q9=1,'PT 2 Skill Tables'!N9=1), 1, 0),IF(PTKEY=4,IF(AND('PT 3 Skill Tables'!Q9=1,'PT 3 Skill Tables'!N9=1), 1, 0), IF(PTKEY=5,IF(AND('PT 4 Skill Tables'!Q9=1,'PT 4 Skill Tables'!N9=1), 1, 0),IF(PTKEY=6,IF(AND('PT 5 Skill Tables'!Q9=1,'PT 5 Skill Tables'!N9=1),1,0),IF(PTKEY=7,IF(AND('PT 6 Skill Tables'!Q9=1,'PT 6 Skill Tables'!N9=1),1,0),""))))))</f>
        <v>0</v>
      </c>
      <c r="AD8" s="93">
        <f>IF(PTKEY=2, IF(AND('PT 1 Skill Tables'!X9=1,'PT 1 Skill Tables'!W9=1), 1, 0), IF(PTKEY=3,IF(AND('PT 2 Skill Tables'!X9=1,'PT 2 Skill Tables'!W9=1), 1, 0),IF(PTKEY=4,IF(AND('PT 3 Skill Tables'!X9=1,'PT 3 Skill Tables'!W9=1), 1, 0),IF(PTKEY=5,IF(AND('PT 4 Skill Tables'!X9=1,'PT 4 Skill Tables'!W9=1), 1, 0),IF(PTKEY=6,IF(AND('PT 5 Skill Tables'!X9=1,'PT 5 Skill Tables'!W9=1),1,0), IF(PTKEY=7,IF(AND('PT 6 Skill Tables'!X9=1,'PT 6 Skill Tables'!W9=1),1,0),""))))))</f>
        <v>0</v>
      </c>
      <c r="AE8" s="93">
        <f>IF(PTKEY=2, IF(AND('PT 1 Skill Tables'!AE9=1,'PT 1 Skill Tables'!AD9=1), 1, 0), IF(PTKEY=3,IF(AND('PT 2 Skill Tables'!AE9=1,'PT 2 Skill Tables'!AD9=1), 1, 0),IF(PTKEY=4,IF(AND('PT 3 Skill Tables'!AE9=1,'PT 3 Skill Tables'!AD9=1), 1, 0),IF(PTKEY=5,IF(AND('PT 4 Skill Tables'!AE9=1,'PT 4 Skill Tables'!AD9=1), 1, 0),IF(PTKEY=6,IF(AND('PT 5 Skill Tables'!AE9=1,'PT 5 Skill Tables'!AD9=1),1,0),IF(PTKEY=7,IF(AND('PT 6 Skill Tables'!AE9=1,'PT 6 Skill Tables'!AD9=1),1,0),""))))))</f>
        <v>0</v>
      </c>
      <c r="AG8" s="93">
        <v>5</v>
      </c>
      <c r="AH8" s="93">
        <f>IF(PTKEY=2, IF(AND('PT 1 Skill Tables'!I9=1,'PT 1 Skill Tables'!E9=1), 1, 0), IF(PTKEY=3,IF(AND('PT 2 Skill Tables'!I9=1,'PT 2 Skill Tables'!E9=1), 1, 0), IF(PTKEY=4,IF(AND('PT 3 Skill Tables'!I9=1,'PT 3 Skill Tables'!E9=1), 1, 0),IF(PTKEY=5,IF(AND('PT 4 Skill Tables'!I9=1,'PT 4 Skill Tables'!E9=1), 1, 0),IF(PTKEY=6,IF(AND('PT 5 Skill Tables'!I9=1,'PT 5 Skill Tables'!E9=1),1,0),IF(PTKEY=7,IF(AND('PT 6 Skill Tables'!I9=1,'PT 6 Skill Tables'!E9=1),1,0),""))))))</f>
        <v>0</v>
      </c>
      <c r="AI8" s="93">
        <f>IF(PTKEY=2,IF(AND('PT 1 Skill Tables'!R9=1,'PT 1 Skill Tables'!N9=1),1,0),IF(PTKEY=3,IF(AND('PT 2 Skill Tables'!R9=1,'PT 2 Skill Tables'!N9=1),1,0),IF(PTKEY=4,IF(AND('PT 3 Skill Tables'!R9=1,'PT 3 Skill Tables'!N9=1),1,0),IF(PTKEY=5,IF(AND('PT 4 Skill Tables'!R9=1,'PT 4 Skill Tables'!N9=1),1,0),IF(PTKEY=6,IF(AND('PT 5 Skill Tables'!R9=1,'PT 5 Skill Tables'!N9=1),1,0),IF(PTKEY=7,IF(AND('PT 6 Skill Tables'!R9=1,'PT 6 Skill Tables'!N9=1),1,0),""))))))</f>
        <v>0</v>
      </c>
      <c r="AJ8" s="93">
        <f>IF(PTKEY=2,IF(AND('PT 1 Skill Tables'!Y9=1,'PT 1 Skill Tables'!W9=1),1,0),IF(PTKEY=3,IF(AND('PT 2 Skill Tables'!Y9=1,'PT 2 Skill Tables'!W9=1),1,0),IF(PTKEY=4,IF(AND('PT 3 Skill Tables'!Y9=1,'PT 3 Skill Tables'!W9=1),1,0),IF(PTKEY=5,IF(AND('PT 4 Skill Tables'!Y9=1,'PT 4 Skill Tables'!W9=1),1,0),IF(PTKEY=6,IF(AND('PT 5 Skill Tables'!Y9=1,'PT 5 Skill Tables'!W9=1),1,0),IF(PTKEY=7,IF(AND('PT 6 Skill Tables'!Y9=1,'PT 6 Skill Tables'!W9=1),1,0),""))))))</f>
        <v>0</v>
      </c>
      <c r="AK8" s="93">
        <f>IF(PTKEY=2,IF(AND('PT 1 Skill Tables'!AF9=1,'PT 1 Skill Tables'!AD9=1),1,0),IF(PTKEY=3,IF(AND('PT 2 Skill Tables'!AF9=1,'PT 2 Skill Tables'!AD9=1),1,0),IF(PTKEY=4,IF(AND('PT 3 Skill Tables'!AF9=1,'PT 3 Skill Tables'!AD9=1),1,0),IF(PTKEY=5,IF(AND('PT 4 Skill Tables'!AF9=1,'PT 4 Skill Tables'!AD9=1),1,0),IF(PTKEY=6,IF(AND('PT 5 Skill Tables'!AF9=1,'PT 5 Skill Tables'!AD9=1),1,0),IF(PTKEY=7,IF(AND('PT 6 Skill Tables'!AF9=1,'PT 6 Skill Tables'!AD9=1),1,0),""))))))</f>
        <v>0</v>
      </c>
    </row>
    <row r="9" spans="2:37">
      <c r="B9" s="164" t="s">
        <v>214</v>
      </c>
      <c r="C9" s="164">
        <v>7</v>
      </c>
      <c r="G9" s="158">
        <v>6</v>
      </c>
      <c r="H9" s="159">
        <f>IF(Input!C15=(VLOOKUP(Input!B15,Table2[#All],PTKEY,TRUE)), 1, 0)</f>
        <v>0</v>
      </c>
      <c r="J9" s="158">
        <v>6</v>
      </c>
      <c r="K9" s="159">
        <f>IF(Input!E15=(VLOOKUP(Input!D15,Table3[#All],PTKEY,TRUE)), 1, 0)</f>
        <v>0</v>
      </c>
      <c r="M9" s="158">
        <v>6</v>
      </c>
      <c r="N9" s="159">
        <f>IF(Input!G15=(VLOOKUP(Input!F15,Table7[#All],PTKEY,TRUE)), 1, 0)</f>
        <v>0</v>
      </c>
      <c r="P9" s="158">
        <v>6</v>
      </c>
      <c r="Q9" s="159">
        <f>IF(Input!I15=(VLOOKUP(Input!H15,Table5[#All],PTKEY,TRUE)), 1, 0)</f>
        <v>0</v>
      </c>
      <c r="S9" s="93">
        <v>6</v>
      </c>
      <c r="T9" s="93">
        <f>IF(PTKEY=2,IF(AND('PT 1 Skill Tables'!F10=1,'PT 1 Skill Tables'!E10=1),1,0),IF(PTKEY=3,IF(AND('PT 2 Skill Tables'!F10=1,'PT 2 Skill Tables'!E10=1),1,0),IF(PTKEY=4,IF(AND('PT 3 Skill Tables'!F10=1,'PT 3 Skill Tables'!E10=1),1,0),IF(PTKEY=5,IF(AND('PT 4 Skill Tables'!F10=1,'PT 4 Skill Tables'!E10=1),1,0),IF(PTKEY=6,IF(AND('PT 5 Skill Tables'!F10=1,'PT 5 Skill Tables'!E10=1),1,0),IF(PTKEY=7,IF(AND('PT 6 Skill Tables'!F10=1,'PT 6 Skill Tables'!E10=1),1,0),""))))))</f>
        <v>0</v>
      </c>
      <c r="U9" s="93">
        <f>IF(PTKEY=2,IF(AND('PT 1 Skill Tables'!O10=1,'PT 1 Skill Tables'!N10=1),1,0),IF(PTKEY=3,IF(AND('PT 2 Skill Tables'!O10=1,'PT 2 Skill Tables'!N10=1),1,0),IF(PTKEY=4,IF(AND('PT 3 Skill Tables'!O10=1,'PT 3 Skill Tables'!N10=1),1,0),IF(PTKEY=5,IF(AND('PT 4 Skill Tables'!O10=1,'PT 4 Skill Tables'!N10=1),1,0),IF(PTKEY=6,IF(AND('PT 5 Skill Tables'!O10=1,'PT 5 Skill Tables'!N10=1),1,0),IF(PTKEY=7,IF(AND('PT 6 Skill Tables'!O10=1,'PT 6 Skill Tables'!N10=1),1,0),""))))))</f>
        <v>0</v>
      </c>
      <c r="W9" s="93">
        <v>6</v>
      </c>
      <c r="X9" s="93">
        <f>IF(PTKEY=2,IF(AND('PT 1 Skill Tables'!G10=1,'PT 1 Skill Tables'!E10=1),1,0),IF(PTKEY=3,IF(AND('PT 2 Skill Tables'!G10=1,'PT 2 Skill Tables'!E10=1),1,0),IF(PTKEY=4,IF(AND('PT 3 Skill Tables'!G10=1,'PT 3 Skill Tables'!E10=1),1,0),IF(PTKEY=5,IF(AND('PT 4 Skill Tables'!G10=1,'PT 4 Skill Tables'!E10=1),1,0),IF(PTKEY=6,IF(AND('PT 5 Skill Tables'!G10=1,'PT 5 Skill Tables'!E10=1),1,0),IF(PTKEY=7,IF(AND('PT 6 Skill Tables'!G10=1,'PT 6 Skill Tables'!E10=1),1,0),""))))))</f>
        <v>0</v>
      </c>
      <c r="Y9" s="93">
        <f>IF(PTKEY=2,IF(AND('PT 1 Skill Tables'!P10=1,'PT 1 Skill Tables'!N10=1),1,0),IF(PTKEY=3,IF(AND('PT 2 Skill Tables'!P10=1,'PT 2 Skill Tables'!N10=1),1,0),IF(PTKEY=4,IF(AND('PT 3 Skill Tables'!P10=1,'PT 3 Skill Tables'!N10=1),1,0),IF(PTKEY=5,IF(AND('PT 4 Skill Tables'!P10=1,'PT 4 Skill Tables'!N10=1),1,0),IF(PTKEY=6,IF(AND('PT 5 Skill Tables'!P10=1,'PT 5 Skill Tables'!N10=1),1,0),IF(PTKEY=7,IF(AND('PT 6 Skill Tables'!P10=1,'PT 6 Skill Tables'!N10=1),1,0),""))))))</f>
        <v>0</v>
      </c>
      <c r="AA9" s="136">
        <v>6</v>
      </c>
      <c r="AB9" s="93">
        <f>IF(PTKEY=2, IF(AND('PT 1 Skill Tables'!H10=1,'PT 1 Skill Tables'!E10=1), 1, 0), IF(PTKEY=3,IF(AND('PT 2 Skill Tables'!H10=1,'PT 2 Skill Tables'!E10=1), 1, 0),IF(PTKEY=4,IF(AND('PT 3 Skill Tables'!H10=1,'PT 3 Skill Tables'!E10=1), 1, 0), IF(PTKEY=5,IF(AND('PT 4 Skill Tables'!H10=1,'PT 4 Skill Tables'!E10=1), 1, 0),IF(PTKEY=6,IF(AND('PT 5 Skill Tables'!H10=1,'PT 5 Skill Tables'!E10=1),1,0),IF(PTKEY=7,IF(AND('PT 6 Skill Tables'!H10=1,'PT 6 Skill Tables'!E10=1),1,0),""))))))</f>
        <v>0</v>
      </c>
      <c r="AC9" s="93">
        <f>IF(PTKEY=2, IF(AND('PT 1 Skill Tables'!Q10=1,'PT 1 Skill Tables'!N10=1), 1, 0), IF(PTKEY=3,IF(AND('PT 2 Skill Tables'!Q10=1,'PT 2 Skill Tables'!N10=1), 1, 0),IF(PTKEY=4,IF(AND('PT 3 Skill Tables'!Q10=1,'PT 3 Skill Tables'!N10=1), 1, 0), IF(PTKEY=5,IF(AND('PT 4 Skill Tables'!Q10=1,'PT 4 Skill Tables'!N10=1), 1, 0),IF(PTKEY=6,IF(AND('PT 5 Skill Tables'!Q10=1,'PT 5 Skill Tables'!N10=1),1,0),IF(PTKEY=7,IF(AND('PT 6 Skill Tables'!Q10=1,'PT 6 Skill Tables'!N10=1),1,0),""))))))</f>
        <v>0</v>
      </c>
      <c r="AD9" s="93">
        <f>IF(PTKEY=2, IF(AND('PT 1 Skill Tables'!X10=1,'PT 1 Skill Tables'!W10=1), 1, 0), IF(PTKEY=3,IF(AND('PT 2 Skill Tables'!X10=1,'PT 2 Skill Tables'!W10=1), 1, 0),IF(PTKEY=4,IF(AND('PT 3 Skill Tables'!X10=1,'PT 3 Skill Tables'!W10=1), 1, 0),IF(PTKEY=5,IF(AND('PT 4 Skill Tables'!X10=1,'PT 4 Skill Tables'!W10=1), 1, 0),IF(PTKEY=6,IF(AND('PT 5 Skill Tables'!X10=1,'PT 5 Skill Tables'!W10=1),1,0), IF(PTKEY=7,IF(AND('PT 6 Skill Tables'!X10=1,'PT 6 Skill Tables'!W10=1),1,0),""))))))</f>
        <v>0</v>
      </c>
      <c r="AE9" s="93">
        <f>IF(PTKEY=2, IF(AND('PT 1 Skill Tables'!AE10=1,'PT 1 Skill Tables'!AD10=1), 1, 0), IF(PTKEY=3,IF(AND('PT 2 Skill Tables'!AE10=1,'PT 2 Skill Tables'!AD10=1), 1, 0),IF(PTKEY=4,IF(AND('PT 3 Skill Tables'!AE10=1,'PT 3 Skill Tables'!AD10=1), 1, 0),IF(PTKEY=5,IF(AND('PT 4 Skill Tables'!AE10=1,'PT 4 Skill Tables'!AD10=1), 1, 0),IF(PTKEY=6,IF(AND('PT 5 Skill Tables'!AE10=1,'PT 5 Skill Tables'!AD10=1),1,0),IF(PTKEY=7,IF(AND('PT 6 Skill Tables'!AE10=1,'PT 6 Skill Tables'!AD10=1),1,0),""))))))</f>
        <v>0</v>
      </c>
      <c r="AG9" s="93">
        <v>6</v>
      </c>
      <c r="AH9" s="93">
        <f>IF(PTKEY=2, IF(AND('PT 1 Skill Tables'!I10=1,'PT 1 Skill Tables'!E10=1), 1, 0), IF(PTKEY=3,IF(AND('PT 2 Skill Tables'!I10=1,'PT 2 Skill Tables'!E10=1), 1, 0), IF(PTKEY=4,IF(AND('PT 3 Skill Tables'!I10=1,'PT 3 Skill Tables'!E10=1), 1, 0),IF(PTKEY=5,IF(AND('PT 4 Skill Tables'!I10=1,'PT 4 Skill Tables'!E10=1), 1, 0),IF(PTKEY=6,IF(AND('PT 5 Skill Tables'!I10=1,'PT 5 Skill Tables'!E10=1),1,0),IF(PTKEY=7,IF(AND('PT 6 Skill Tables'!I10=1,'PT 6 Skill Tables'!E10=1),1,0),""))))))</f>
        <v>0</v>
      </c>
      <c r="AI9" s="93">
        <f>IF(PTKEY=2,IF(AND('PT 1 Skill Tables'!R10=1,'PT 1 Skill Tables'!N10=1),1,0),IF(PTKEY=3,IF(AND('PT 2 Skill Tables'!R10=1,'PT 2 Skill Tables'!N10=1),1,0),IF(PTKEY=4,IF(AND('PT 3 Skill Tables'!R10=1,'PT 3 Skill Tables'!N10=1),1,0),IF(PTKEY=5,IF(AND('PT 4 Skill Tables'!R10=1,'PT 4 Skill Tables'!N10=1),1,0),IF(PTKEY=6,IF(AND('PT 5 Skill Tables'!R10=1,'PT 5 Skill Tables'!N10=1),1,0),IF(PTKEY=7,IF(AND('PT 6 Skill Tables'!R10=1,'PT 6 Skill Tables'!N10=1),1,0),""))))))</f>
        <v>0</v>
      </c>
      <c r="AJ9" s="93">
        <f>IF(PTKEY=2,IF(AND('PT 1 Skill Tables'!Y10=1,'PT 1 Skill Tables'!W10=1),1,0),IF(PTKEY=3,IF(AND('PT 2 Skill Tables'!Y10=1,'PT 2 Skill Tables'!W10=1),1,0),IF(PTKEY=4,IF(AND('PT 3 Skill Tables'!Y10=1,'PT 3 Skill Tables'!W10=1),1,0),IF(PTKEY=5,IF(AND('PT 4 Skill Tables'!Y10=1,'PT 4 Skill Tables'!W10=1),1,0),IF(PTKEY=6,IF(AND('PT 5 Skill Tables'!Y10=1,'PT 5 Skill Tables'!W10=1),1,0),IF(PTKEY=7,IF(AND('PT 6 Skill Tables'!Y10=1,'PT 6 Skill Tables'!W10=1),1,0),""))))))</f>
        <v>0</v>
      </c>
      <c r="AK9" s="93">
        <f>IF(PTKEY=2,IF(AND('PT 1 Skill Tables'!AF10=1,'PT 1 Skill Tables'!AD10=1),1,0),IF(PTKEY=3,IF(AND('PT 2 Skill Tables'!AF10=1,'PT 2 Skill Tables'!AD10=1),1,0),IF(PTKEY=4,IF(AND('PT 3 Skill Tables'!AF10=1,'PT 3 Skill Tables'!AD10=1),1,0),IF(PTKEY=5,IF(AND('PT 4 Skill Tables'!AF10=1,'PT 4 Skill Tables'!AD10=1),1,0),IF(PTKEY=6,IF(AND('PT 5 Skill Tables'!AF10=1,'PT 5 Skill Tables'!AD10=1),1,0),IF(PTKEY=7,IF(AND('PT 6 Skill Tables'!AF10=1,'PT 6 Skill Tables'!AD10=1),1,0),""))))))</f>
        <v>0</v>
      </c>
    </row>
    <row r="10" spans="2:37">
      <c r="G10" s="160">
        <v>7</v>
      </c>
      <c r="H10" s="159">
        <f>IF(Input!C16=(VLOOKUP(Input!B16,Table2[#All],PTKEY,TRUE)), 1, 0)</f>
        <v>0</v>
      </c>
      <c r="J10" s="160">
        <v>7</v>
      </c>
      <c r="K10" s="159">
        <f>IF(Input!E16=(VLOOKUP(Input!D16,Table3[#All],PTKEY,TRUE)), 1, 0)</f>
        <v>0</v>
      </c>
      <c r="M10" s="160">
        <v>7</v>
      </c>
      <c r="N10" s="159">
        <f>IF(Input!G16=(VLOOKUP(Input!F16,Table7[#All],PTKEY,TRUE)), 1, 0)</f>
        <v>0</v>
      </c>
      <c r="P10" s="160">
        <v>7</v>
      </c>
      <c r="Q10" s="159">
        <f>IF(Input!I16=(VLOOKUP(Input!H16,Table5[#All],PTKEY,TRUE)), 1, 0)</f>
        <v>0</v>
      </c>
      <c r="S10" s="93">
        <v>7</v>
      </c>
      <c r="T10" s="93">
        <f>IF(PTKEY=2,IF(AND('PT 1 Skill Tables'!F11=1,'PT 1 Skill Tables'!E11=1),1,0),IF(PTKEY=3,IF(AND('PT 2 Skill Tables'!F11=1,'PT 2 Skill Tables'!E11=1),1,0),IF(PTKEY=4,IF(AND('PT 3 Skill Tables'!F11=1,'PT 3 Skill Tables'!E11=1),1,0),IF(PTKEY=5,IF(AND('PT 4 Skill Tables'!F11=1,'PT 4 Skill Tables'!E11=1),1,0),IF(PTKEY=6,IF(AND('PT 5 Skill Tables'!F11=1,'PT 5 Skill Tables'!E11=1),1,0),IF(PTKEY=7,IF(AND('PT 6 Skill Tables'!F11=1,'PT 6 Skill Tables'!E11=1),1,0),""))))))</f>
        <v>0</v>
      </c>
      <c r="U10" s="93">
        <f>IF(PTKEY=2,IF(AND('PT 1 Skill Tables'!O11=1,'PT 1 Skill Tables'!N11=1),1,0),IF(PTKEY=3,IF(AND('PT 2 Skill Tables'!O11=1,'PT 2 Skill Tables'!N11=1),1,0),IF(PTKEY=4,IF(AND('PT 3 Skill Tables'!O11=1,'PT 3 Skill Tables'!N11=1),1,0),IF(PTKEY=5,IF(AND('PT 4 Skill Tables'!O11=1,'PT 4 Skill Tables'!N11=1),1,0),IF(PTKEY=6,IF(AND('PT 5 Skill Tables'!O11=1,'PT 5 Skill Tables'!N11=1),1,0),IF(PTKEY=7,IF(AND('PT 6 Skill Tables'!O11=1,'PT 6 Skill Tables'!N11=1),1,0),""))))))</f>
        <v>0</v>
      </c>
      <c r="W10" s="93">
        <v>7</v>
      </c>
      <c r="X10" s="93">
        <f>IF(PTKEY=2,IF(AND('PT 1 Skill Tables'!G11=1,'PT 1 Skill Tables'!E11=1),1,0),IF(PTKEY=3,IF(AND('PT 2 Skill Tables'!G11=1,'PT 2 Skill Tables'!E11=1),1,0),IF(PTKEY=4,IF(AND('PT 3 Skill Tables'!G11=1,'PT 3 Skill Tables'!E11=1),1,0),IF(PTKEY=5,IF(AND('PT 4 Skill Tables'!G11=1,'PT 4 Skill Tables'!E11=1),1,0),IF(PTKEY=6,IF(AND('PT 5 Skill Tables'!G11=1,'PT 5 Skill Tables'!E11=1),1,0),IF(PTKEY=7,IF(AND('PT 6 Skill Tables'!G11=1,'PT 6 Skill Tables'!E11=1),1,0),""))))))</f>
        <v>0</v>
      </c>
      <c r="Y10" s="93">
        <f>IF(PTKEY=2,IF(AND('PT 1 Skill Tables'!P11=1,'PT 1 Skill Tables'!N11=1),1,0),IF(PTKEY=3,IF(AND('PT 2 Skill Tables'!P11=1,'PT 2 Skill Tables'!N11=1),1,0),IF(PTKEY=4,IF(AND('PT 3 Skill Tables'!P11=1,'PT 3 Skill Tables'!N11=1),1,0),IF(PTKEY=5,IF(AND('PT 4 Skill Tables'!P11=1,'PT 4 Skill Tables'!N11=1),1,0),IF(PTKEY=6,IF(AND('PT 5 Skill Tables'!P11=1,'PT 5 Skill Tables'!N11=1),1,0),IF(PTKEY=7,IF(AND('PT 6 Skill Tables'!P11=1,'PT 6 Skill Tables'!N11=1),1,0),""))))))</f>
        <v>0</v>
      </c>
      <c r="AA10" s="135">
        <v>7</v>
      </c>
      <c r="AB10" s="93">
        <f>IF(PTKEY=2, IF(AND('PT 1 Skill Tables'!H11=1,'PT 1 Skill Tables'!E11=1), 1, 0), IF(PTKEY=3,IF(AND('PT 2 Skill Tables'!H11=1,'PT 2 Skill Tables'!E11=1), 1, 0),IF(PTKEY=4,IF(AND('PT 3 Skill Tables'!H11=1,'PT 3 Skill Tables'!E11=1), 1, 0), IF(PTKEY=5,IF(AND('PT 4 Skill Tables'!H11=1,'PT 4 Skill Tables'!E11=1), 1, 0),IF(PTKEY=6,IF(AND('PT 5 Skill Tables'!H11=1,'PT 5 Skill Tables'!E11=1),1,0),IF(PTKEY=7,IF(AND('PT 6 Skill Tables'!H11=1,'PT 6 Skill Tables'!E11=1),1,0),""))))))</f>
        <v>0</v>
      </c>
      <c r="AC10" s="93">
        <f>IF(PTKEY=2, IF(AND('PT 1 Skill Tables'!Q11=1,'PT 1 Skill Tables'!N11=1), 1, 0), IF(PTKEY=3,IF(AND('PT 2 Skill Tables'!Q11=1,'PT 2 Skill Tables'!N11=1), 1, 0),IF(PTKEY=4,IF(AND('PT 3 Skill Tables'!Q11=1,'PT 3 Skill Tables'!N11=1), 1, 0), IF(PTKEY=5,IF(AND('PT 4 Skill Tables'!Q11=1,'PT 4 Skill Tables'!N11=1), 1, 0),IF(PTKEY=6,IF(AND('PT 5 Skill Tables'!Q11=1,'PT 5 Skill Tables'!N11=1),1,0),IF(PTKEY=7,IF(AND('PT 6 Skill Tables'!Q11=1,'PT 6 Skill Tables'!N11=1),1,0),""))))))</f>
        <v>0</v>
      </c>
      <c r="AD10" s="93">
        <f>IF(PTKEY=2, IF(AND('PT 1 Skill Tables'!X11=1,'PT 1 Skill Tables'!W11=1), 1, 0), IF(PTKEY=3,IF(AND('PT 2 Skill Tables'!X11=1,'PT 2 Skill Tables'!W11=1), 1, 0),IF(PTKEY=4,IF(AND('PT 3 Skill Tables'!X11=1,'PT 3 Skill Tables'!W11=1), 1, 0),IF(PTKEY=5,IF(AND('PT 4 Skill Tables'!X11=1,'PT 4 Skill Tables'!W11=1), 1, 0),IF(PTKEY=6,IF(AND('PT 5 Skill Tables'!X11=1,'PT 5 Skill Tables'!W11=1),1,0), IF(PTKEY=7,IF(AND('PT 6 Skill Tables'!X11=1,'PT 6 Skill Tables'!W11=1),1,0),""))))))</f>
        <v>0</v>
      </c>
      <c r="AE10" s="93">
        <f>IF(PTKEY=2, IF(AND('PT 1 Skill Tables'!AE11=1,'PT 1 Skill Tables'!AD11=1), 1, 0), IF(PTKEY=3,IF(AND('PT 2 Skill Tables'!AE11=1,'PT 2 Skill Tables'!AD11=1), 1, 0),IF(PTKEY=4,IF(AND('PT 3 Skill Tables'!AE11=1,'PT 3 Skill Tables'!AD11=1), 1, 0),IF(PTKEY=5,IF(AND('PT 4 Skill Tables'!AE11=1,'PT 4 Skill Tables'!AD11=1), 1, 0),IF(PTKEY=6,IF(AND('PT 5 Skill Tables'!AE11=1,'PT 5 Skill Tables'!AD11=1),1,0),IF(PTKEY=7,IF(AND('PT 6 Skill Tables'!AE11=1,'PT 6 Skill Tables'!AD11=1),1,0),""))))))</f>
        <v>0</v>
      </c>
      <c r="AG10" s="93">
        <v>7</v>
      </c>
      <c r="AH10" s="93">
        <f>IF(PTKEY=2, IF(AND('PT 1 Skill Tables'!I11=1,'PT 1 Skill Tables'!E11=1), 1, 0), IF(PTKEY=3,IF(AND('PT 2 Skill Tables'!I11=1,'PT 2 Skill Tables'!E11=1), 1, 0), IF(PTKEY=4,IF(AND('PT 3 Skill Tables'!I11=1,'PT 3 Skill Tables'!E11=1), 1, 0),IF(PTKEY=5,IF(AND('PT 4 Skill Tables'!I11=1,'PT 4 Skill Tables'!E11=1), 1, 0),IF(PTKEY=6,IF(AND('PT 5 Skill Tables'!I11=1,'PT 5 Skill Tables'!E11=1),1,0),IF(PTKEY=7,IF(AND('PT 6 Skill Tables'!I11=1,'PT 6 Skill Tables'!E11=1),1,0),""))))))</f>
        <v>0</v>
      </c>
      <c r="AI10" s="93">
        <f>IF(PTKEY=2,IF(AND('PT 1 Skill Tables'!R11=1,'PT 1 Skill Tables'!N11=1),1,0),IF(PTKEY=3,IF(AND('PT 2 Skill Tables'!R11=1,'PT 2 Skill Tables'!N11=1),1,0),IF(PTKEY=4,IF(AND('PT 3 Skill Tables'!R11=1,'PT 3 Skill Tables'!N11=1),1,0),IF(PTKEY=5,IF(AND('PT 4 Skill Tables'!R11=1,'PT 4 Skill Tables'!N11=1),1,0),IF(PTKEY=6,IF(AND('PT 5 Skill Tables'!R11=1,'PT 5 Skill Tables'!N11=1),1,0),IF(PTKEY=7,IF(AND('PT 6 Skill Tables'!R11=1,'PT 6 Skill Tables'!N11=1),1,0),""))))))</f>
        <v>0</v>
      </c>
      <c r="AJ10" s="93">
        <f>IF(PTKEY=2,IF(AND('PT 1 Skill Tables'!Y11=1,'PT 1 Skill Tables'!W11=1),1,0),IF(PTKEY=3,IF(AND('PT 2 Skill Tables'!Y11=1,'PT 2 Skill Tables'!W11=1),1,0),IF(PTKEY=4,IF(AND('PT 3 Skill Tables'!Y11=1,'PT 3 Skill Tables'!W11=1),1,0),IF(PTKEY=5,IF(AND('PT 4 Skill Tables'!Y11=1,'PT 4 Skill Tables'!W11=1),1,0),IF(PTKEY=6,IF(AND('PT 5 Skill Tables'!Y11=1,'PT 5 Skill Tables'!W11=1),1,0),IF(PTKEY=7,IF(AND('PT 6 Skill Tables'!Y11=1,'PT 6 Skill Tables'!W11=1),1,0),""))))))</f>
        <v>0</v>
      </c>
      <c r="AK10" s="93">
        <f>IF(PTKEY=2,IF(AND('PT 1 Skill Tables'!AF11=1,'PT 1 Skill Tables'!AD11=1),1,0),IF(PTKEY=3,IF(AND('PT 2 Skill Tables'!AF11=1,'PT 2 Skill Tables'!AD11=1),1,0),IF(PTKEY=4,IF(AND('PT 3 Skill Tables'!AF11=1,'PT 3 Skill Tables'!AD11=1),1,0),IF(PTKEY=5,IF(AND('PT 4 Skill Tables'!AF11=1,'PT 4 Skill Tables'!AD11=1),1,0),IF(PTKEY=6,IF(AND('PT 5 Skill Tables'!AF11=1,'PT 5 Skill Tables'!AD11=1),1,0),IF(PTKEY=7,IF(AND('PT 6 Skill Tables'!AF11=1,'PT 6 Skill Tables'!AD11=1),1,0),""))))))</f>
        <v>0</v>
      </c>
    </row>
    <row r="11" spans="2:37">
      <c r="G11" s="158">
        <v>8</v>
      </c>
      <c r="H11" s="159">
        <f>IF(Input!C17=(VLOOKUP(Input!B17,Table2[#All],PTKEY,TRUE)), 1, 0)</f>
        <v>0</v>
      </c>
      <c r="J11" s="158">
        <v>8</v>
      </c>
      <c r="K11" s="159">
        <f>IF(Input!E17=(VLOOKUP(Input!D17,Table3[#All],PTKEY,TRUE)), 1, 0)</f>
        <v>0</v>
      </c>
      <c r="M11" s="158">
        <v>8</v>
      </c>
      <c r="N11" s="159">
        <f>IF(Input!G17=(VLOOKUP(Input!F17,Table7[#All],PTKEY,TRUE)), 1, 0)</f>
        <v>0</v>
      </c>
      <c r="P11" s="158">
        <v>8</v>
      </c>
      <c r="Q11" s="159">
        <f>IF(Input!I17=(VLOOKUP(Input!H17,Table5[#All],PTKEY,TRUE)), 1, 0)</f>
        <v>0</v>
      </c>
      <c r="S11" s="93">
        <v>8</v>
      </c>
      <c r="T11" s="93">
        <f>IF(PTKEY=2,IF(AND('PT 1 Skill Tables'!F12=1,'PT 1 Skill Tables'!E12=1),1,0),IF(PTKEY=3,IF(AND('PT 2 Skill Tables'!F12=1,'PT 2 Skill Tables'!E12=1),1,0),IF(PTKEY=4,IF(AND('PT 3 Skill Tables'!F12=1,'PT 3 Skill Tables'!E12=1),1,0),IF(PTKEY=5,IF(AND('PT 4 Skill Tables'!F12=1,'PT 4 Skill Tables'!E12=1),1,0),IF(PTKEY=6,IF(AND('PT 5 Skill Tables'!F12=1,'PT 5 Skill Tables'!E12=1),1,0),IF(PTKEY=7,IF(AND('PT 6 Skill Tables'!F12=1,'PT 6 Skill Tables'!E12=1),1,0),""))))))</f>
        <v>0</v>
      </c>
      <c r="U11" s="93">
        <f>IF(PTKEY=2,IF(AND('PT 1 Skill Tables'!O12=1,'PT 1 Skill Tables'!N12=1),1,0),IF(PTKEY=3,IF(AND('PT 2 Skill Tables'!O12=1,'PT 2 Skill Tables'!N12=1),1,0),IF(PTKEY=4,IF(AND('PT 3 Skill Tables'!O12=1,'PT 3 Skill Tables'!N12=1),1,0),IF(PTKEY=5,IF(AND('PT 4 Skill Tables'!O12=1,'PT 4 Skill Tables'!N12=1),1,0),IF(PTKEY=6,IF(AND('PT 5 Skill Tables'!O12=1,'PT 5 Skill Tables'!N12=1),1,0),IF(PTKEY=7,IF(AND('PT 6 Skill Tables'!O12=1,'PT 6 Skill Tables'!N12=1),1,0),""))))))</f>
        <v>0</v>
      </c>
      <c r="W11" s="93">
        <v>8</v>
      </c>
      <c r="X11" s="93">
        <f>IF(PTKEY=2,IF(AND('PT 1 Skill Tables'!G12=1,'PT 1 Skill Tables'!E12=1),1,0),IF(PTKEY=3,IF(AND('PT 2 Skill Tables'!G12=1,'PT 2 Skill Tables'!E12=1),1,0),IF(PTKEY=4,IF(AND('PT 3 Skill Tables'!G12=1,'PT 3 Skill Tables'!E12=1),1,0),IF(PTKEY=5,IF(AND('PT 4 Skill Tables'!G12=1,'PT 4 Skill Tables'!E12=1),1,0),IF(PTKEY=6,IF(AND('PT 5 Skill Tables'!G12=1,'PT 5 Skill Tables'!E12=1),1,0),IF(PTKEY=7,IF(AND('PT 6 Skill Tables'!G12=1,'PT 6 Skill Tables'!E12=1),1,0),""))))))</f>
        <v>0</v>
      </c>
      <c r="Y11" s="93">
        <f>IF(PTKEY=2,IF(AND('PT 1 Skill Tables'!P12=1,'PT 1 Skill Tables'!N12=1),1,0),IF(PTKEY=3,IF(AND('PT 2 Skill Tables'!P12=1,'PT 2 Skill Tables'!N12=1),1,0),IF(PTKEY=4,IF(AND('PT 3 Skill Tables'!P12=1,'PT 3 Skill Tables'!N12=1),1,0),IF(PTKEY=5,IF(AND('PT 4 Skill Tables'!P12=1,'PT 4 Skill Tables'!N12=1),1,0),IF(PTKEY=6,IF(AND('PT 5 Skill Tables'!P12=1,'PT 5 Skill Tables'!N12=1),1,0),IF(PTKEY=7,IF(AND('PT 6 Skill Tables'!P12=1,'PT 6 Skill Tables'!N12=1),1,0),""))))))</f>
        <v>0</v>
      </c>
      <c r="AA11" s="136">
        <v>8</v>
      </c>
      <c r="AB11" s="93">
        <f>IF(PTKEY=2, IF(AND('PT 1 Skill Tables'!H12=1,'PT 1 Skill Tables'!E12=1), 1, 0), IF(PTKEY=3,IF(AND('PT 2 Skill Tables'!H12=1,'PT 2 Skill Tables'!E12=1), 1, 0),IF(PTKEY=4,IF(AND('PT 3 Skill Tables'!H12=1,'PT 3 Skill Tables'!E12=1), 1, 0), IF(PTKEY=5,IF(AND('PT 4 Skill Tables'!H12=1,'PT 4 Skill Tables'!E12=1), 1, 0),IF(PTKEY=6,IF(AND('PT 5 Skill Tables'!H12=1,'PT 5 Skill Tables'!E12=1),1,0),IF(PTKEY=7,IF(AND('PT 6 Skill Tables'!H12=1,'PT 6 Skill Tables'!E12=1),1,0),""))))))</f>
        <v>0</v>
      </c>
      <c r="AC11" s="93">
        <f>IF(PTKEY=2, IF(AND('PT 1 Skill Tables'!Q12=1,'PT 1 Skill Tables'!N12=1), 1, 0), IF(PTKEY=3,IF(AND('PT 2 Skill Tables'!Q12=1,'PT 2 Skill Tables'!N12=1), 1, 0),IF(PTKEY=4,IF(AND('PT 3 Skill Tables'!Q12=1,'PT 3 Skill Tables'!N12=1), 1, 0), IF(PTKEY=5,IF(AND('PT 4 Skill Tables'!Q12=1,'PT 4 Skill Tables'!N12=1), 1, 0),IF(PTKEY=6,IF(AND('PT 5 Skill Tables'!Q12=1,'PT 5 Skill Tables'!N12=1),1,0),IF(PTKEY=7,IF(AND('PT 6 Skill Tables'!Q12=1,'PT 6 Skill Tables'!N12=1),1,0),""))))))</f>
        <v>0</v>
      </c>
      <c r="AD11" s="93">
        <f>IF(PTKEY=2, IF(AND('PT 1 Skill Tables'!X12=1,'PT 1 Skill Tables'!W12=1), 1, 0), IF(PTKEY=3,IF(AND('PT 2 Skill Tables'!X12=1,'PT 2 Skill Tables'!W12=1), 1, 0),IF(PTKEY=4,IF(AND('PT 3 Skill Tables'!X12=1,'PT 3 Skill Tables'!W12=1), 1, 0),IF(PTKEY=5,IF(AND('PT 4 Skill Tables'!X12=1,'PT 4 Skill Tables'!W12=1), 1, 0),IF(PTKEY=6,IF(AND('PT 5 Skill Tables'!X12=1,'PT 5 Skill Tables'!W12=1),1,0), IF(PTKEY=7,IF(AND('PT 6 Skill Tables'!X12=1,'PT 6 Skill Tables'!W12=1),1,0),""))))))</f>
        <v>0</v>
      </c>
      <c r="AE11" s="93">
        <f>IF(PTKEY=2, IF(AND('PT 1 Skill Tables'!AE12=1,'PT 1 Skill Tables'!AD12=1), 1, 0), IF(PTKEY=3,IF(AND('PT 2 Skill Tables'!AE12=1,'PT 2 Skill Tables'!AD12=1), 1, 0),IF(PTKEY=4,IF(AND('PT 3 Skill Tables'!AE12=1,'PT 3 Skill Tables'!AD12=1), 1, 0),IF(PTKEY=5,IF(AND('PT 4 Skill Tables'!AE12=1,'PT 4 Skill Tables'!AD12=1), 1, 0),IF(PTKEY=6,IF(AND('PT 5 Skill Tables'!AE12=1,'PT 5 Skill Tables'!AD12=1),1,0),IF(PTKEY=7,IF(AND('PT 6 Skill Tables'!AE12=1,'PT 6 Skill Tables'!AD12=1),1,0),""))))))</f>
        <v>0</v>
      </c>
      <c r="AG11" s="93">
        <v>8</v>
      </c>
      <c r="AH11" s="93">
        <f>IF(PTKEY=2, IF(AND('PT 1 Skill Tables'!I12=1,'PT 1 Skill Tables'!E12=1), 1, 0), IF(PTKEY=3,IF(AND('PT 2 Skill Tables'!I12=1,'PT 2 Skill Tables'!E12=1), 1, 0), IF(PTKEY=4,IF(AND('PT 3 Skill Tables'!I12=1,'PT 3 Skill Tables'!E12=1), 1, 0),IF(PTKEY=5,IF(AND('PT 4 Skill Tables'!I12=1,'PT 4 Skill Tables'!E12=1), 1, 0),IF(PTKEY=6,IF(AND('PT 5 Skill Tables'!I12=1,'PT 5 Skill Tables'!E12=1),1,0),IF(PTKEY=7,IF(AND('PT 6 Skill Tables'!I12=1,'PT 6 Skill Tables'!E12=1),1,0),""))))))</f>
        <v>0</v>
      </c>
      <c r="AI11" s="93">
        <f>IF(PTKEY=2,IF(AND('PT 1 Skill Tables'!R12=1,'PT 1 Skill Tables'!N12=1),1,0),IF(PTKEY=3,IF(AND('PT 2 Skill Tables'!R12=1,'PT 2 Skill Tables'!N12=1),1,0),IF(PTKEY=4,IF(AND('PT 3 Skill Tables'!R12=1,'PT 3 Skill Tables'!N12=1),1,0),IF(PTKEY=5,IF(AND('PT 4 Skill Tables'!R12=1,'PT 4 Skill Tables'!N12=1),1,0),IF(PTKEY=6,IF(AND('PT 5 Skill Tables'!R12=1,'PT 5 Skill Tables'!N12=1),1,0),IF(PTKEY=7,IF(AND('PT 6 Skill Tables'!R12=1,'PT 6 Skill Tables'!N12=1),1,0),""))))))</f>
        <v>0</v>
      </c>
      <c r="AJ11" s="93">
        <f>IF(PTKEY=2,IF(AND('PT 1 Skill Tables'!Y12=1,'PT 1 Skill Tables'!W12=1),1,0),IF(PTKEY=3,IF(AND('PT 2 Skill Tables'!Y12=1,'PT 2 Skill Tables'!W12=1),1,0),IF(PTKEY=4,IF(AND('PT 3 Skill Tables'!Y12=1,'PT 3 Skill Tables'!W12=1),1,0),IF(PTKEY=5,IF(AND('PT 4 Skill Tables'!Y12=1,'PT 4 Skill Tables'!W12=1),1,0),IF(PTKEY=6,IF(AND('PT 5 Skill Tables'!Y12=1,'PT 5 Skill Tables'!W12=1),1,0),IF(PTKEY=7,IF(AND('PT 6 Skill Tables'!Y12=1,'PT 6 Skill Tables'!W12=1),1,0),""))))))</f>
        <v>0</v>
      </c>
      <c r="AK11" s="93">
        <f>IF(PTKEY=2,IF(AND('PT 1 Skill Tables'!AF12=1,'PT 1 Skill Tables'!AD12=1),1,0),IF(PTKEY=3,IF(AND('PT 2 Skill Tables'!AF12=1,'PT 2 Skill Tables'!AD12=1),1,0),IF(PTKEY=4,IF(AND('PT 3 Skill Tables'!AF12=1,'PT 3 Skill Tables'!AD12=1),1,0),IF(PTKEY=5,IF(AND('PT 4 Skill Tables'!AF12=1,'PT 4 Skill Tables'!AD12=1),1,0),IF(PTKEY=6,IF(AND('PT 5 Skill Tables'!AF12=1,'PT 5 Skill Tables'!AD12=1),1,0),IF(PTKEY=7,IF(AND('PT 6 Skill Tables'!AF12=1,'PT 6 Skill Tables'!AD12=1),1,0),""))))))</f>
        <v>0</v>
      </c>
    </row>
    <row r="12" spans="2:37">
      <c r="G12" s="160">
        <v>9</v>
      </c>
      <c r="H12" s="159">
        <f>IF(Input!C18=(VLOOKUP(Input!B18,Table2[#All],PTKEY,TRUE)), 1, 0)</f>
        <v>0</v>
      </c>
      <c r="J12" s="160">
        <v>9</v>
      </c>
      <c r="K12" s="159">
        <f>IF(Input!E18=(VLOOKUP(Input!D18,Table3[#All],PTKEY,TRUE)), 1, 0)</f>
        <v>0</v>
      </c>
      <c r="M12" s="160">
        <v>9</v>
      </c>
      <c r="N12" s="159">
        <f>IF(Input!G18=(VLOOKUP(Input!F18,Table7[#All],PTKEY,TRUE)), 1, 0)</f>
        <v>0</v>
      </c>
      <c r="P12" s="160">
        <v>9</v>
      </c>
      <c r="Q12" s="159">
        <f>IF(Input!I18=(VLOOKUP(Input!H18,Table5[#All],PTKEY,TRUE)), 1, 0)</f>
        <v>0</v>
      </c>
      <c r="S12" s="93">
        <v>9</v>
      </c>
      <c r="T12" s="93">
        <f>IF(PTKEY=2,IF(AND('PT 1 Skill Tables'!F13=1,'PT 1 Skill Tables'!E13=1),1,0),IF(PTKEY=3,IF(AND('PT 2 Skill Tables'!F13=1,'PT 2 Skill Tables'!E13=1),1,0),IF(PTKEY=4,IF(AND('PT 3 Skill Tables'!F13=1,'PT 3 Skill Tables'!E13=1),1,0),IF(PTKEY=5,IF(AND('PT 4 Skill Tables'!F13=1,'PT 4 Skill Tables'!E13=1),1,0),IF(PTKEY=6,IF(AND('PT 5 Skill Tables'!F13=1,'PT 5 Skill Tables'!E13=1),1,0),IF(PTKEY=7,IF(AND('PT 6 Skill Tables'!F13=1,'PT 6 Skill Tables'!E13=1),1,0),""))))))</f>
        <v>0</v>
      </c>
      <c r="U12" s="93">
        <f>IF(PTKEY=2,IF(AND('PT 1 Skill Tables'!O13=1,'PT 1 Skill Tables'!N13=1),1,0),IF(PTKEY=3,IF(AND('PT 2 Skill Tables'!O13=1,'PT 2 Skill Tables'!N13=1),1,0),IF(PTKEY=4,IF(AND('PT 3 Skill Tables'!O13=1,'PT 3 Skill Tables'!N13=1),1,0),IF(PTKEY=5,IF(AND('PT 4 Skill Tables'!O13=1,'PT 4 Skill Tables'!N13=1),1,0),IF(PTKEY=6,IF(AND('PT 5 Skill Tables'!O13=1,'PT 5 Skill Tables'!N13=1),1,0),IF(PTKEY=7,IF(AND('PT 6 Skill Tables'!O13=1,'PT 6 Skill Tables'!N13=1),1,0),""))))))</f>
        <v>0</v>
      </c>
      <c r="W12" s="93">
        <v>9</v>
      </c>
      <c r="X12" s="93">
        <f>IF(PTKEY=2,IF(AND('PT 1 Skill Tables'!G13=1,'PT 1 Skill Tables'!E13=1),1,0),IF(PTKEY=3,IF(AND('PT 2 Skill Tables'!G13=1,'PT 2 Skill Tables'!E13=1),1,0),IF(PTKEY=4,IF(AND('PT 3 Skill Tables'!G13=1,'PT 3 Skill Tables'!E13=1),1,0),IF(PTKEY=5,IF(AND('PT 4 Skill Tables'!G13=1,'PT 4 Skill Tables'!E13=1),1,0),IF(PTKEY=6,IF(AND('PT 5 Skill Tables'!G13=1,'PT 5 Skill Tables'!E13=1),1,0),IF(PTKEY=7,IF(AND('PT 6 Skill Tables'!G13=1,'PT 6 Skill Tables'!E13=1),1,0),""))))))</f>
        <v>0</v>
      </c>
      <c r="Y12" s="93">
        <f>IF(PTKEY=2,IF(AND('PT 1 Skill Tables'!P13=1,'PT 1 Skill Tables'!N13=1),1,0),IF(PTKEY=3,IF(AND('PT 2 Skill Tables'!P13=1,'PT 2 Skill Tables'!N13=1),1,0),IF(PTKEY=4,IF(AND('PT 3 Skill Tables'!P13=1,'PT 3 Skill Tables'!N13=1),1,0),IF(PTKEY=5,IF(AND('PT 4 Skill Tables'!P13=1,'PT 4 Skill Tables'!N13=1),1,0),IF(PTKEY=6,IF(AND('PT 5 Skill Tables'!P13=1,'PT 5 Skill Tables'!N13=1),1,0),IF(PTKEY=7,IF(AND('PT 6 Skill Tables'!P13=1,'PT 6 Skill Tables'!N13=1),1,0),""))))))</f>
        <v>0</v>
      </c>
      <c r="AA12" s="135">
        <v>9</v>
      </c>
      <c r="AB12" s="93">
        <f>IF(PTKEY=2, IF(AND('PT 1 Skill Tables'!H13=1,'PT 1 Skill Tables'!E13=1), 1, 0), IF(PTKEY=3,IF(AND('PT 2 Skill Tables'!H13=1,'PT 2 Skill Tables'!E13=1), 1, 0),IF(PTKEY=4,IF(AND('PT 3 Skill Tables'!H13=1,'PT 3 Skill Tables'!E13=1), 1, 0), IF(PTKEY=5,IF(AND('PT 4 Skill Tables'!H13=1,'PT 4 Skill Tables'!E13=1), 1, 0),IF(PTKEY=6,IF(AND('PT 5 Skill Tables'!H13=1,'PT 5 Skill Tables'!E13=1),1,0),IF(PTKEY=7,IF(AND('PT 6 Skill Tables'!H13=1,'PT 6 Skill Tables'!E13=1),1,0),""))))))</f>
        <v>0</v>
      </c>
      <c r="AC12" s="93">
        <f>IF(PTKEY=2, IF(AND('PT 1 Skill Tables'!Q13=1,'PT 1 Skill Tables'!N13=1), 1, 0), IF(PTKEY=3,IF(AND('PT 2 Skill Tables'!Q13=1,'PT 2 Skill Tables'!N13=1), 1, 0),IF(PTKEY=4,IF(AND('PT 3 Skill Tables'!Q13=1,'PT 3 Skill Tables'!N13=1), 1, 0), IF(PTKEY=5,IF(AND('PT 4 Skill Tables'!Q13=1,'PT 4 Skill Tables'!N13=1), 1, 0),IF(PTKEY=6,IF(AND('PT 5 Skill Tables'!Q13=1,'PT 5 Skill Tables'!N13=1),1,0),IF(PTKEY=7,IF(AND('PT 6 Skill Tables'!Q13=1,'PT 6 Skill Tables'!N13=1),1,0),""))))))</f>
        <v>0</v>
      </c>
      <c r="AD12" s="93">
        <f>IF(PTKEY=2, IF(AND('PT 1 Skill Tables'!X13=1,'PT 1 Skill Tables'!W13=1), 1, 0), IF(PTKEY=3,IF(AND('PT 2 Skill Tables'!X13=1,'PT 2 Skill Tables'!W13=1), 1, 0),IF(PTKEY=4,IF(AND('PT 3 Skill Tables'!X13=1,'PT 3 Skill Tables'!W13=1), 1, 0),IF(PTKEY=5,IF(AND('PT 4 Skill Tables'!X13=1,'PT 4 Skill Tables'!W13=1), 1, 0),IF(PTKEY=6,IF(AND('PT 5 Skill Tables'!X13=1,'PT 5 Skill Tables'!W13=1),1,0), IF(PTKEY=7,IF(AND('PT 6 Skill Tables'!X13=1,'PT 6 Skill Tables'!W13=1),1,0),""))))))</f>
        <v>0</v>
      </c>
      <c r="AE12" s="93">
        <f>IF(PTKEY=2, IF(AND('PT 1 Skill Tables'!AE13=1,'PT 1 Skill Tables'!AD13=1), 1, 0), IF(PTKEY=3,IF(AND('PT 2 Skill Tables'!AE13=1,'PT 2 Skill Tables'!AD13=1), 1, 0),IF(PTKEY=4,IF(AND('PT 3 Skill Tables'!AE13=1,'PT 3 Skill Tables'!AD13=1), 1, 0),IF(PTKEY=5,IF(AND('PT 4 Skill Tables'!AE13=1,'PT 4 Skill Tables'!AD13=1), 1, 0),IF(PTKEY=6,IF(AND('PT 5 Skill Tables'!AE13=1,'PT 5 Skill Tables'!AD13=1),1,0),IF(PTKEY=7,IF(AND('PT 6 Skill Tables'!AE13=1,'PT 6 Skill Tables'!AD13=1),1,0),""))))))</f>
        <v>0</v>
      </c>
      <c r="AG12" s="93">
        <v>9</v>
      </c>
      <c r="AH12" s="93">
        <f>IF(PTKEY=2, IF(AND('PT 1 Skill Tables'!I13=1,'PT 1 Skill Tables'!E13=1), 1, 0), IF(PTKEY=3,IF(AND('PT 2 Skill Tables'!I13=1,'PT 2 Skill Tables'!E13=1), 1, 0), IF(PTKEY=4,IF(AND('PT 3 Skill Tables'!I13=1,'PT 3 Skill Tables'!E13=1), 1, 0),IF(PTKEY=5,IF(AND('PT 4 Skill Tables'!I13=1,'PT 4 Skill Tables'!E13=1), 1, 0),IF(PTKEY=6,IF(AND('PT 5 Skill Tables'!I13=1,'PT 5 Skill Tables'!E13=1),1,0),IF(PTKEY=7,IF(AND('PT 6 Skill Tables'!I13=1,'PT 6 Skill Tables'!E13=1),1,0),""))))))</f>
        <v>0</v>
      </c>
      <c r="AI12" s="93">
        <f>IF(PTKEY=2,IF(AND('PT 1 Skill Tables'!R13=1,'PT 1 Skill Tables'!N13=1),1,0),IF(PTKEY=3,IF(AND('PT 2 Skill Tables'!R13=1,'PT 2 Skill Tables'!N13=1),1,0),IF(PTKEY=4,IF(AND('PT 3 Skill Tables'!R13=1,'PT 3 Skill Tables'!N13=1),1,0),IF(PTKEY=5,IF(AND('PT 4 Skill Tables'!R13=1,'PT 4 Skill Tables'!N13=1),1,0),IF(PTKEY=6,IF(AND('PT 5 Skill Tables'!R13=1,'PT 5 Skill Tables'!N13=1),1,0),IF(PTKEY=7,IF(AND('PT 6 Skill Tables'!R13=1,'PT 6 Skill Tables'!N13=1),1,0),""))))))</f>
        <v>0</v>
      </c>
      <c r="AJ12" s="93">
        <f>IF(PTKEY=2,IF(AND('PT 1 Skill Tables'!Y13=1,'PT 1 Skill Tables'!W13=1),1,0),IF(PTKEY=3,IF(AND('PT 2 Skill Tables'!Y13=1,'PT 2 Skill Tables'!W13=1),1,0),IF(PTKEY=4,IF(AND('PT 3 Skill Tables'!Y13=1,'PT 3 Skill Tables'!W13=1),1,0),IF(PTKEY=5,IF(AND('PT 4 Skill Tables'!Y13=1,'PT 4 Skill Tables'!W13=1),1,0),IF(PTKEY=6,IF(AND('PT 5 Skill Tables'!Y13=1,'PT 5 Skill Tables'!W13=1),1,0),IF(PTKEY=7,IF(AND('PT 6 Skill Tables'!Y13=1,'PT 6 Skill Tables'!W13=1),1,0),""))))))</f>
        <v>0</v>
      </c>
      <c r="AK12" s="93">
        <f>IF(PTKEY=2,IF(AND('PT 1 Skill Tables'!AF13=1,'PT 1 Skill Tables'!AD13=1),1,0),IF(PTKEY=3,IF(AND('PT 2 Skill Tables'!AF13=1,'PT 2 Skill Tables'!AD13=1),1,0),IF(PTKEY=4,IF(AND('PT 3 Skill Tables'!AF13=1,'PT 3 Skill Tables'!AD13=1),1,0),IF(PTKEY=5,IF(AND('PT 4 Skill Tables'!AF13=1,'PT 4 Skill Tables'!AD13=1),1,0),IF(PTKEY=6,IF(AND('PT 5 Skill Tables'!AF13=1,'PT 5 Skill Tables'!AD13=1),1,0),IF(PTKEY=7,IF(AND('PT 6 Skill Tables'!AF13=1,'PT 6 Skill Tables'!AD13=1),1,0),""))))))</f>
        <v>0</v>
      </c>
    </row>
    <row r="13" spans="2:37">
      <c r="G13" s="158">
        <v>10</v>
      </c>
      <c r="H13" s="159">
        <f>IF(Input!C19=(VLOOKUP(Input!B19,Table2[#All],PTKEY,TRUE)), 1, 0)</f>
        <v>0</v>
      </c>
      <c r="J13" s="158">
        <v>10</v>
      </c>
      <c r="K13" s="159">
        <f>IF(Input!E19=(VLOOKUP(Input!D19,Table3[#All],PTKEY,TRUE)), 1, 0)</f>
        <v>0</v>
      </c>
      <c r="M13" s="158">
        <v>10</v>
      </c>
      <c r="N13" s="159">
        <f>IF(Input!G19=(VLOOKUP(Input!F19,Table7[#All],PTKEY,TRUE)), 1, 0)</f>
        <v>0</v>
      </c>
      <c r="P13" s="158">
        <v>10</v>
      </c>
      <c r="Q13" s="159">
        <f>IF(Input!I19=(VLOOKUP(Input!H19,Table5[#All],PTKEY,TRUE)), 1, 0)</f>
        <v>0</v>
      </c>
      <c r="S13" s="93">
        <v>10</v>
      </c>
      <c r="T13" s="93">
        <f>IF(PTKEY=2,IF(AND('PT 1 Skill Tables'!F14=1,'PT 1 Skill Tables'!E14=1),1,0),IF(PTKEY=3,IF(AND('PT 2 Skill Tables'!F14=1,'PT 2 Skill Tables'!E14=1),1,0),IF(PTKEY=4,IF(AND('PT 3 Skill Tables'!F14=1,'PT 3 Skill Tables'!E14=1),1,0),IF(PTKEY=5,IF(AND('PT 4 Skill Tables'!F14=1,'PT 4 Skill Tables'!E14=1),1,0),IF(PTKEY=6,IF(AND('PT 5 Skill Tables'!F14=1,'PT 5 Skill Tables'!E14=1),1,0),IF(PTKEY=7,IF(AND('PT 6 Skill Tables'!F14=1,'PT 6 Skill Tables'!E14=1),1,0),""))))))</f>
        <v>0</v>
      </c>
      <c r="U13" s="93">
        <f>IF(PTKEY=2,IF(AND('PT 1 Skill Tables'!O14=1,'PT 1 Skill Tables'!N14=1),1,0),IF(PTKEY=3,IF(AND('PT 2 Skill Tables'!O14=1,'PT 2 Skill Tables'!N14=1),1,0),IF(PTKEY=4,IF(AND('PT 3 Skill Tables'!O14=1,'PT 3 Skill Tables'!N14=1),1,0),IF(PTKEY=5,IF(AND('PT 4 Skill Tables'!O14=1,'PT 4 Skill Tables'!N14=1),1,0),IF(PTKEY=6,IF(AND('PT 5 Skill Tables'!O14=1,'PT 5 Skill Tables'!N14=1),1,0),IF(PTKEY=7,IF(AND('PT 6 Skill Tables'!O14=1,'PT 6 Skill Tables'!N14=1),1,0),""))))))</f>
        <v>0</v>
      </c>
      <c r="W13" s="93">
        <v>10</v>
      </c>
      <c r="X13" s="93">
        <f>IF(PTKEY=2,IF(AND('PT 1 Skill Tables'!G14=1,'PT 1 Skill Tables'!E14=1),1,0),IF(PTKEY=3,IF(AND('PT 2 Skill Tables'!G14=1,'PT 2 Skill Tables'!E14=1),1,0),IF(PTKEY=4,IF(AND('PT 3 Skill Tables'!G14=1,'PT 3 Skill Tables'!E14=1),1,0),IF(PTKEY=5,IF(AND('PT 4 Skill Tables'!G14=1,'PT 4 Skill Tables'!E14=1),1,0),IF(PTKEY=6,IF(AND('PT 5 Skill Tables'!G14=1,'PT 5 Skill Tables'!E14=1),1,0),IF(PTKEY=7,IF(AND('PT 6 Skill Tables'!G14=1,'PT 6 Skill Tables'!E14=1),1,0),""))))))</f>
        <v>0</v>
      </c>
      <c r="Y13" s="93">
        <f>IF(PTKEY=2,IF(AND('PT 1 Skill Tables'!P14=1,'PT 1 Skill Tables'!N14=1),1,0),IF(PTKEY=3,IF(AND('PT 2 Skill Tables'!P14=1,'PT 2 Skill Tables'!N14=1),1,0),IF(PTKEY=4,IF(AND('PT 3 Skill Tables'!P14=1,'PT 3 Skill Tables'!N14=1),1,0),IF(PTKEY=5,IF(AND('PT 4 Skill Tables'!P14=1,'PT 4 Skill Tables'!N14=1),1,0),IF(PTKEY=6,IF(AND('PT 5 Skill Tables'!P14=1,'PT 5 Skill Tables'!N14=1),1,0),IF(PTKEY=7,IF(AND('PT 6 Skill Tables'!P14=1,'PT 6 Skill Tables'!N14=1),1,0),""))))))</f>
        <v>0</v>
      </c>
      <c r="AA13" s="136">
        <v>10</v>
      </c>
      <c r="AB13" s="93">
        <f>IF(PTKEY=2, IF(AND('PT 1 Skill Tables'!H14=1,'PT 1 Skill Tables'!E14=1), 1, 0), IF(PTKEY=3,IF(AND('PT 2 Skill Tables'!H14=1,'PT 2 Skill Tables'!E14=1), 1, 0),IF(PTKEY=4,IF(AND('PT 3 Skill Tables'!H14=1,'PT 3 Skill Tables'!E14=1), 1, 0), IF(PTKEY=5,IF(AND('PT 4 Skill Tables'!H14=1,'PT 4 Skill Tables'!E14=1), 1, 0),IF(PTKEY=6,IF(AND('PT 5 Skill Tables'!H14=1,'PT 5 Skill Tables'!E14=1),1,0),IF(PTKEY=7,IF(AND('PT 6 Skill Tables'!H14=1,'PT 6 Skill Tables'!E14=1),1,0),""))))))</f>
        <v>0</v>
      </c>
      <c r="AC13" s="93">
        <f>IF(PTKEY=2, IF(AND('PT 1 Skill Tables'!Q14=1,'PT 1 Skill Tables'!N14=1), 1, 0), IF(PTKEY=3,IF(AND('PT 2 Skill Tables'!Q14=1,'PT 2 Skill Tables'!N14=1), 1, 0),IF(PTKEY=4,IF(AND('PT 3 Skill Tables'!Q14=1,'PT 3 Skill Tables'!N14=1), 1, 0), IF(PTKEY=5,IF(AND('PT 4 Skill Tables'!Q14=1,'PT 4 Skill Tables'!N14=1), 1, 0),IF(PTKEY=6,IF(AND('PT 5 Skill Tables'!Q14=1,'PT 5 Skill Tables'!N14=1),1,0),IF(PTKEY=7,IF(AND('PT 6 Skill Tables'!Q14=1,'PT 6 Skill Tables'!N14=1),1,0),""))))))</f>
        <v>0</v>
      </c>
      <c r="AD13" s="93">
        <f>IF(PTKEY=2, IF(AND('PT 1 Skill Tables'!X14=1,'PT 1 Skill Tables'!W14=1), 1, 0), IF(PTKEY=3,IF(AND('PT 2 Skill Tables'!X14=1,'PT 2 Skill Tables'!W14=1), 1, 0),IF(PTKEY=4,IF(AND('PT 3 Skill Tables'!X14=1,'PT 3 Skill Tables'!W14=1), 1, 0),IF(PTKEY=5,IF(AND('PT 4 Skill Tables'!X14=1,'PT 4 Skill Tables'!W14=1), 1, 0),IF(PTKEY=6,IF(AND('PT 5 Skill Tables'!X14=1,'PT 5 Skill Tables'!W14=1),1,0), IF(PTKEY=7,IF(AND('PT 6 Skill Tables'!X14=1,'PT 6 Skill Tables'!W14=1),1,0),""))))))</f>
        <v>0</v>
      </c>
      <c r="AE13" s="93">
        <f>IF(PTKEY=2, IF(AND('PT 1 Skill Tables'!AE14=1,'PT 1 Skill Tables'!AD14=1), 1, 0), IF(PTKEY=3,IF(AND('PT 2 Skill Tables'!AE14=1,'PT 2 Skill Tables'!AD14=1), 1, 0),IF(PTKEY=4,IF(AND('PT 3 Skill Tables'!AE14=1,'PT 3 Skill Tables'!AD14=1), 1, 0),IF(PTKEY=5,IF(AND('PT 4 Skill Tables'!AE14=1,'PT 4 Skill Tables'!AD14=1), 1, 0),IF(PTKEY=6,IF(AND('PT 5 Skill Tables'!AE14=1,'PT 5 Skill Tables'!AD14=1),1,0),IF(PTKEY=7,IF(AND('PT 6 Skill Tables'!AE14=1,'PT 6 Skill Tables'!AD14=1),1,0),""))))))</f>
        <v>0</v>
      </c>
      <c r="AG13" s="93">
        <v>10</v>
      </c>
      <c r="AH13" s="93">
        <f>IF(PTKEY=2, IF(AND('PT 1 Skill Tables'!I14=1,'PT 1 Skill Tables'!E14=1), 1, 0), IF(PTKEY=3,IF(AND('PT 2 Skill Tables'!I14=1,'PT 2 Skill Tables'!E14=1), 1, 0), IF(PTKEY=4,IF(AND('PT 3 Skill Tables'!I14=1,'PT 3 Skill Tables'!E14=1), 1, 0),IF(PTKEY=5,IF(AND('PT 4 Skill Tables'!I14=1,'PT 4 Skill Tables'!E14=1), 1, 0),IF(PTKEY=6,IF(AND('PT 5 Skill Tables'!I14=1,'PT 5 Skill Tables'!E14=1),1,0),IF(PTKEY=7,IF(AND('PT 6 Skill Tables'!I14=1,'PT 6 Skill Tables'!E14=1),1,0),""))))))</f>
        <v>0</v>
      </c>
      <c r="AI13" s="93">
        <f>IF(PTKEY=2,IF(AND('PT 1 Skill Tables'!R14=1,'PT 1 Skill Tables'!N14=1),1,0),IF(PTKEY=3,IF(AND('PT 2 Skill Tables'!R14=1,'PT 2 Skill Tables'!N14=1),1,0),IF(PTKEY=4,IF(AND('PT 3 Skill Tables'!R14=1,'PT 3 Skill Tables'!N14=1),1,0),IF(PTKEY=5,IF(AND('PT 4 Skill Tables'!R14=1,'PT 4 Skill Tables'!N14=1),1,0),IF(PTKEY=6,IF(AND('PT 5 Skill Tables'!R14=1,'PT 5 Skill Tables'!N14=1),1,0),IF(PTKEY=7,IF(AND('PT 6 Skill Tables'!R14=1,'PT 6 Skill Tables'!N14=1),1,0),""))))))</f>
        <v>0</v>
      </c>
      <c r="AJ13" s="93">
        <f>IF(PTKEY=2,IF(AND('PT 1 Skill Tables'!Y14=1,'PT 1 Skill Tables'!W14=1),1,0),IF(PTKEY=3,IF(AND('PT 2 Skill Tables'!Y14=1,'PT 2 Skill Tables'!W14=1),1,0),IF(PTKEY=4,IF(AND('PT 3 Skill Tables'!Y14=1,'PT 3 Skill Tables'!W14=1),1,0),IF(PTKEY=5,IF(AND('PT 4 Skill Tables'!Y14=1,'PT 4 Skill Tables'!W14=1),1,0),IF(PTKEY=6,IF(AND('PT 5 Skill Tables'!Y14=1,'PT 5 Skill Tables'!W14=1),1,0),IF(PTKEY=7,IF(AND('PT 6 Skill Tables'!Y14=1,'PT 6 Skill Tables'!W14=1),1,0),""))))))</f>
        <v>0</v>
      </c>
      <c r="AK13" s="93">
        <f>IF(PTKEY=2,IF(AND('PT 1 Skill Tables'!AF14=1,'PT 1 Skill Tables'!AD14=1),1,0),IF(PTKEY=3,IF(AND('PT 2 Skill Tables'!AF14=1,'PT 2 Skill Tables'!AD14=1),1,0),IF(PTKEY=4,IF(AND('PT 3 Skill Tables'!AF14=1,'PT 3 Skill Tables'!AD14=1),1,0),IF(PTKEY=5,IF(AND('PT 4 Skill Tables'!AF14=1,'PT 4 Skill Tables'!AD14=1),1,0),IF(PTKEY=6,IF(AND('PT 5 Skill Tables'!AF14=1,'PT 5 Skill Tables'!AD14=1),1,0),IF(PTKEY=7,IF(AND('PT 6 Skill Tables'!AF14=1,'PT 6 Skill Tables'!AD14=1),1,0),""))))))</f>
        <v>0</v>
      </c>
    </row>
    <row r="14" spans="2:37">
      <c r="G14" s="160">
        <v>11</v>
      </c>
      <c r="H14" s="159">
        <f>IF(Input!C20=(VLOOKUP(Input!B20,Table2[#All],PTKEY,TRUE)), 1, 0)</f>
        <v>0</v>
      </c>
      <c r="J14" s="160">
        <v>11</v>
      </c>
      <c r="K14" s="159">
        <f>IF(Input!E20=(VLOOKUP(Input!D20,Table3[#All],PTKEY,TRUE)), 1, 0)</f>
        <v>0</v>
      </c>
      <c r="M14" s="160">
        <v>11</v>
      </c>
      <c r="N14" s="159">
        <f>IF(Input!G20=(VLOOKUP(Input!F20,Table7[#All],PTKEY,TRUE)), 1, 0)</f>
        <v>0</v>
      </c>
      <c r="P14" s="160">
        <v>11</v>
      </c>
      <c r="Q14" s="159">
        <f>IF(Input!I20=(VLOOKUP(Input!H20,Table5[#All],PTKEY,TRUE)), 1, 0)</f>
        <v>0</v>
      </c>
      <c r="S14" s="93">
        <v>11</v>
      </c>
      <c r="T14" s="93">
        <f>IF(PTKEY=2,IF(AND('PT 1 Skill Tables'!F15=1,'PT 1 Skill Tables'!E15=1),1,0),IF(PTKEY=3,IF(AND('PT 2 Skill Tables'!F15=1,'PT 2 Skill Tables'!E15=1),1,0),IF(PTKEY=4,IF(AND('PT 3 Skill Tables'!F15=1,'PT 3 Skill Tables'!E15=1),1,0),IF(PTKEY=5,IF(AND('PT 4 Skill Tables'!F15=1,'PT 4 Skill Tables'!E15=1),1,0),IF(PTKEY=6,IF(AND('PT 5 Skill Tables'!F15=1,'PT 5 Skill Tables'!E15=1),1,0),IF(PTKEY=7,IF(AND('PT 6 Skill Tables'!F15=1,'PT 6 Skill Tables'!E15=1),1,0),""))))))</f>
        <v>0</v>
      </c>
      <c r="U14" s="93">
        <f>IF(PTKEY=2,IF(AND('PT 1 Skill Tables'!O15=1,'PT 1 Skill Tables'!N15=1),1,0),IF(PTKEY=3,IF(AND('PT 2 Skill Tables'!O15=1,'PT 2 Skill Tables'!N15=1),1,0),IF(PTKEY=4,IF(AND('PT 3 Skill Tables'!O15=1,'PT 3 Skill Tables'!N15=1),1,0),IF(PTKEY=5,IF(AND('PT 4 Skill Tables'!O15=1,'PT 4 Skill Tables'!N15=1),1,0),IF(PTKEY=6,IF(AND('PT 5 Skill Tables'!O15=1,'PT 5 Skill Tables'!N15=1),1,0),IF(PTKEY=7,IF(AND('PT 6 Skill Tables'!O15=1,'PT 6 Skill Tables'!N15=1),1,0),""))))))</f>
        <v>0</v>
      </c>
      <c r="W14" s="93">
        <v>11</v>
      </c>
      <c r="X14" s="93">
        <f>IF(PTKEY=2,IF(AND('PT 1 Skill Tables'!G15=1,'PT 1 Skill Tables'!E15=1),1,0),IF(PTKEY=3,IF(AND('PT 2 Skill Tables'!G15=1,'PT 2 Skill Tables'!E15=1),1,0),IF(PTKEY=4,IF(AND('PT 3 Skill Tables'!G15=1,'PT 3 Skill Tables'!E15=1),1,0),IF(PTKEY=5,IF(AND('PT 4 Skill Tables'!G15=1,'PT 4 Skill Tables'!E15=1),1,0),IF(PTKEY=6,IF(AND('PT 5 Skill Tables'!G15=1,'PT 5 Skill Tables'!E15=1),1,0),IF(PTKEY=7,IF(AND('PT 6 Skill Tables'!G15=1,'PT 6 Skill Tables'!E15=1),1,0),""))))))</f>
        <v>0</v>
      </c>
      <c r="Y14" s="93">
        <f>IF(PTKEY=2,IF(AND('PT 1 Skill Tables'!P15=1,'PT 1 Skill Tables'!N15=1),1,0),IF(PTKEY=3,IF(AND('PT 2 Skill Tables'!P15=1,'PT 2 Skill Tables'!N15=1),1,0),IF(PTKEY=4,IF(AND('PT 3 Skill Tables'!P15=1,'PT 3 Skill Tables'!N15=1),1,0),IF(PTKEY=5,IF(AND('PT 4 Skill Tables'!P15=1,'PT 4 Skill Tables'!N15=1),1,0),IF(PTKEY=6,IF(AND('PT 5 Skill Tables'!P15=1,'PT 5 Skill Tables'!N15=1),1,0),IF(PTKEY=7,IF(AND('PT 6 Skill Tables'!P15=1,'PT 6 Skill Tables'!N15=1),1,0),""))))))</f>
        <v>0</v>
      </c>
      <c r="AA14" s="135">
        <v>11</v>
      </c>
      <c r="AB14" s="93">
        <f>IF(PTKEY=2, IF(AND('PT 1 Skill Tables'!H15=1,'PT 1 Skill Tables'!E15=1), 1, 0), IF(PTKEY=3,IF(AND('PT 2 Skill Tables'!H15=1,'PT 2 Skill Tables'!E15=1), 1, 0),IF(PTKEY=4,IF(AND('PT 3 Skill Tables'!H15=1,'PT 3 Skill Tables'!E15=1), 1, 0), IF(PTKEY=5,IF(AND('PT 4 Skill Tables'!H15=1,'PT 4 Skill Tables'!E15=1), 1, 0),IF(PTKEY=6,IF(AND('PT 5 Skill Tables'!H15=1,'PT 5 Skill Tables'!E15=1),1,0),IF(PTKEY=7,IF(AND('PT 6 Skill Tables'!H15=1,'PT 6 Skill Tables'!E15=1),1,0),""))))))</f>
        <v>0</v>
      </c>
      <c r="AC14" s="93">
        <f>IF(PTKEY=2, IF(AND('PT 1 Skill Tables'!Q15=1,'PT 1 Skill Tables'!N15=1), 1, 0), IF(PTKEY=3,IF(AND('PT 2 Skill Tables'!Q15=1,'PT 2 Skill Tables'!N15=1), 1, 0),IF(PTKEY=4,IF(AND('PT 3 Skill Tables'!Q15=1,'PT 3 Skill Tables'!N15=1), 1, 0), IF(PTKEY=5,IF(AND('PT 4 Skill Tables'!Q15=1,'PT 4 Skill Tables'!N15=1), 1, 0),IF(PTKEY=6,IF(AND('PT 5 Skill Tables'!Q15=1,'PT 5 Skill Tables'!N15=1),1,0),IF(PTKEY=7,IF(AND('PT 6 Skill Tables'!Q15=1,'PT 6 Skill Tables'!N15=1),1,0),""))))))</f>
        <v>0</v>
      </c>
      <c r="AD14" s="93">
        <f>IF(PTKEY=2, IF(AND('PT 1 Skill Tables'!X15=1,'PT 1 Skill Tables'!W15=1), 1, 0), IF(PTKEY=3,IF(AND('PT 2 Skill Tables'!X15=1,'PT 2 Skill Tables'!W15=1), 1, 0),IF(PTKEY=4,IF(AND('PT 3 Skill Tables'!X15=1,'PT 3 Skill Tables'!W15=1), 1, 0),IF(PTKEY=5,IF(AND('PT 4 Skill Tables'!X15=1,'PT 4 Skill Tables'!W15=1), 1, 0),IF(PTKEY=6,IF(AND('PT 5 Skill Tables'!X15=1,'PT 5 Skill Tables'!W15=1),1,0), IF(PTKEY=7,IF(AND('PT 6 Skill Tables'!X15=1,'PT 6 Skill Tables'!W15=1),1,0),""))))))</f>
        <v>0</v>
      </c>
      <c r="AE14" s="93">
        <f>IF(PTKEY=2, IF(AND('PT 1 Skill Tables'!AE15=1,'PT 1 Skill Tables'!AD15=1), 1, 0), IF(PTKEY=3,IF(AND('PT 2 Skill Tables'!AE15=1,'PT 2 Skill Tables'!AD15=1), 1, 0),IF(PTKEY=4,IF(AND('PT 3 Skill Tables'!AE15=1,'PT 3 Skill Tables'!AD15=1), 1, 0),IF(PTKEY=5,IF(AND('PT 4 Skill Tables'!AE15=1,'PT 4 Skill Tables'!AD15=1), 1, 0),IF(PTKEY=6,IF(AND('PT 5 Skill Tables'!AE15=1,'PT 5 Skill Tables'!AD15=1),1,0),IF(PTKEY=7,IF(AND('PT 6 Skill Tables'!AE15=1,'PT 6 Skill Tables'!AD15=1),1,0),""))))))</f>
        <v>0</v>
      </c>
      <c r="AG14" s="93">
        <v>11</v>
      </c>
      <c r="AH14" s="93">
        <f>IF(PTKEY=2, IF(AND('PT 1 Skill Tables'!I15=1,'PT 1 Skill Tables'!E15=1), 1, 0), IF(PTKEY=3,IF(AND('PT 2 Skill Tables'!I15=1,'PT 2 Skill Tables'!E15=1), 1, 0), IF(PTKEY=4,IF(AND('PT 3 Skill Tables'!I15=1,'PT 3 Skill Tables'!E15=1), 1, 0),IF(PTKEY=5,IF(AND('PT 4 Skill Tables'!I15=1,'PT 4 Skill Tables'!E15=1), 1, 0),IF(PTKEY=6,IF(AND('PT 5 Skill Tables'!I15=1,'PT 5 Skill Tables'!E15=1),1,0),IF(PTKEY=7,IF(AND('PT 6 Skill Tables'!I15=1,'PT 6 Skill Tables'!E15=1),1,0),""))))))</f>
        <v>0</v>
      </c>
      <c r="AI14" s="93">
        <f>IF(PTKEY=2,IF(AND('PT 1 Skill Tables'!R15=1,'PT 1 Skill Tables'!N15=1),1,0),IF(PTKEY=3,IF(AND('PT 2 Skill Tables'!R15=1,'PT 2 Skill Tables'!N15=1),1,0),IF(PTKEY=4,IF(AND('PT 3 Skill Tables'!R15=1,'PT 3 Skill Tables'!N15=1),1,0),IF(PTKEY=5,IF(AND('PT 4 Skill Tables'!R15=1,'PT 4 Skill Tables'!N15=1),1,0),IF(PTKEY=6,IF(AND('PT 5 Skill Tables'!R15=1,'PT 5 Skill Tables'!N15=1),1,0),IF(PTKEY=7,IF(AND('PT 6 Skill Tables'!R15=1,'PT 6 Skill Tables'!N15=1),1,0),""))))))</f>
        <v>0</v>
      </c>
      <c r="AJ14" s="93">
        <f>IF(PTKEY=2,IF(AND('PT 1 Skill Tables'!Y15=1,'PT 1 Skill Tables'!W15=1),1,0),IF(PTKEY=3,IF(AND('PT 2 Skill Tables'!Y15=1,'PT 2 Skill Tables'!W15=1),1,0),IF(PTKEY=4,IF(AND('PT 3 Skill Tables'!Y15=1,'PT 3 Skill Tables'!W15=1),1,0),IF(PTKEY=5,IF(AND('PT 4 Skill Tables'!Y15=1,'PT 4 Skill Tables'!W15=1),1,0),IF(PTKEY=6,IF(AND('PT 5 Skill Tables'!Y15=1,'PT 5 Skill Tables'!W15=1),1,0),IF(PTKEY=7,IF(AND('PT 6 Skill Tables'!Y15=1,'PT 6 Skill Tables'!W15=1),1,0),""))))))</f>
        <v>0</v>
      </c>
      <c r="AK14" s="93">
        <f>IF(PTKEY=2,IF(AND('PT 1 Skill Tables'!AF15=1,'PT 1 Skill Tables'!AD15=1),1,0),IF(PTKEY=3,IF(AND('PT 2 Skill Tables'!AF15=1,'PT 2 Skill Tables'!AD15=1),1,0),IF(PTKEY=4,IF(AND('PT 3 Skill Tables'!AF15=1,'PT 3 Skill Tables'!AD15=1),1,0),IF(PTKEY=5,IF(AND('PT 4 Skill Tables'!AF15=1,'PT 4 Skill Tables'!AD15=1),1,0),IF(PTKEY=6,IF(AND('PT 5 Skill Tables'!AF15=1,'PT 5 Skill Tables'!AD15=1),1,0),IF(PTKEY=7,IF(AND('PT 6 Skill Tables'!AF15=1,'PT 6 Skill Tables'!AD15=1),1,0),""))))))</f>
        <v>0</v>
      </c>
    </row>
    <row r="15" spans="2:37">
      <c r="G15" s="158">
        <v>12</v>
      </c>
      <c r="H15" s="159">
        <f>IF(Input!C21=(VLOOKUP(Input!B21,Table2[#All],PTKEY,TRUE)), 1, 0)</f>
        <v>0</v>
      </c>
      <c r="J15" s="158">
        <v>12</v>
      </c>
      <c r="K15" s="159">
        <f>IF(Input!E21=(VLOOKUP(Input!D21,Table3[#All],PTKEY,TRUE)), 1, 0)</f>
        <v>0</v>
      </c>
      <c r="M15" s="158">
        <v>12</v>
      </c>
      <c r="N15" s="159">
        <f>IF(Input!G21=(VLOOKUP(Input!F21,Table7[#All],PTKEY,TRUE)), 1, 0)</f>
        <v>0</v>
      </c>
      <c r="P15" s="158">
        <v>12</v>
      </c>
      <c r="Q15" s="159">
        <f>IF(Input!I21=(VLOOKUP(Input!H21,Table5[#All],PTKEY,TRUE)), 1, 0)</f>
        <v>0</v>
      </c>
      <c r="S15" s="93">
        <v>12</v>
      </c>
      <c r="T15" s="93">
        <f>IF(PTKEY=2,IF(AND('PT 1 Skill Tables'!F16=1,'PT 1 Skill Tables'!E16=1),1,0),IF(PTKEY=3,IF(AND('PT 2 Skill Tables'!F16=1,'PT 2 Skill Tables'!E16=1),1,0),IF(PTKEY=4,IF(AND('PT 3 Skill Tables'!F16=1,'PT 3 Skill Tables'!E16=1),1,0),IF(PTKEY=5,IF(AND('PT 4 Skill Tables'!F16=1,'PT 4 Skill Tables'!E16=1),1,0),IF(PTKEY=6,IF(AND('PT 5 Skill Tables'!F16=1,'PT 5 Skill Tables'!E16=1),1,0),IF(PTKEY=7,IF(AND('PT 6 Skill Tables'!F16=1,'PT 6 Skill Tables'!E16=1),1,0),""))))))</f>
        <v>0</v>
      </c>
      <c r="U15" s="93">
        <f>IF(PTKEY=2,IF(AND('PT 1 Skill Tables'!O16=1,'PT 1 Skill Tables'!N16=1),1,0),IF(PTKEY=3,IF(AND('PT 2 Skill Tables'!O16=1,'PT 2 Skill Tables'!N16=1),1,0),IF(PTKEY=4,IF(AND('PT 3 Skill Tables'!O16=1,'PT 3 Skill Tables'!N16=1),1,0),IF(PTKEY=5,IF(AND('PT 4 Skill Tables'!O16=1,'PT 4 Skill Tables'!N16=1),1,0),IF(PTKEY=6,IF(AND('PT 5 Skill Tables'!O16=1,'PT 5 Skill Tables'!N16=1),1,0),IF(PTKEY=7,IF(AND('PT 6 Skill Tables'!O16=1,'PT 6 Skill Tables'!N16=1),1,0),""))))))</f>
        <v>0</v>
      </c>
      <c r="W15" s="93">
        <v>12</v>
      </c>
      <c r="X15" s="93">
        <f>IF(PTKEY=2,IF(AND('PT 1 Skill Tables'!G16=1,'PT 1 Skill Tables'!E16=1),1,0),IF(PTKEY=3,IF(AND('PT 2 Skill Tables'!G16=1,'PT 2 Skill Tables'!E16=1),1,0),IF(PTKEY=4,IF(AND('PT 3 Skill Tables'!G16=1,'PT 3 Skill Tables'!E16=1),1,0),IF(PTKEY=5,IF(AND('PT 4 Skill Tables'!G16=1,'PT 4 Skill Tables'!E16=1),1,0),IF(PTKEY=6,IF(AND('PT 5 Skill Tables'!G16=1,'PT 5 Skill Tables'!E16=1),1,0),IF(PTKEY=7,IF(AND('PT 6 Skill Tables'!G16=1,'PT 6 Skill Tables'!E16=1),1,0),""))))))</f>
        <v>0</v>
      </c>
      <c r="Y15" s="93">
        <f>IF(PTKEY=2,IF(AND('PT 1 Skill Tables'!P16=1,'PT 1 Skill Tables'!N16=1),1,0),IF(PTKEY=3,IF(AND('PT 2 Skill Tables'!P16=1,'PT 2 Skill Tables'!N16=1),1,0),IF(PTKEY=4,IF(AND('PT 3 Skill Tables'!P16=1,'PT 3 Skill Tables'!N16=1),1,0),IF(PTKEY=5,IF(AND('PT 4 Skill Tables'!P16=1,'PT 4 Skill Tables'!N16=1),1,0),IF(PTKEY=6,IF(AND('PT 5 Skill Tables'!P16=1,'PT 5 Skill Tables'!N16=1),1,0),IF(PTKEY=7,IF(AND('PT 6 Skill Tables'!P16=1,'PT 6 Skill Tables'!N16=1),1,0),""))))))</f>
        <v>0</v>
      </c>
      <c r="AA15" s="136">
        <v>12</v>
      </c>
      <c r="AB15" s="93">
        <f>IF(PTKEY=2, IF(AND('PT 1 Skill Tables'!H16=1,'PT 1 Skill Tables'!E16=1), 1, 0), IF(PTKEY=3,IF(AND('PT 2 Skill Tables'!H16=1,'PT 2 Skill Tables'!E16=1), 1, 0),IF(PTKEY=4,IF(AND('PT 3 Skill Tables'!H16=1,'PT 3 Skill Tables'!E16=1), 1, 0), IF(PTKEY=5,IF(AND('PT 4 Skill Tables'!H16=1,'PT 4 Skill Tables'!E16=1), 1, 0),IF(PTKEY=6,IF(AND('PT 5 Skill Tables'!H16=1,'PT 5 Skill Tables'!E16=1),1,0),IF(PTKEY=7,IF(AND('PT 6 Skill Tables'!H16=1,'PT 6 Skill Tables'!E16=1),1,0),""))))))</f>
        <v>0</v>
      </c>
      <c r="AC15" s="93">
        <f>IF(PTKEY=2, IF(AND('PT 1 Skill Tables'!Q16=1,'PT 1 Skill Tables'!N16=1), 1, 0), IF(PTKEY=3,IF(AND('PT 2 Skill Tables'!Q16=1,'PT 2 Skill Tables'!N16=1), 1, 0),IF(PTKEY=4,IF(AND('PT 3 Skill Tables'!Q16=1,'PT 3 Skill Tables'!N16=1), 1, 0), IF(PTKEY=5,IF(AND('PT 4 Skill Tables'!Q16=1,'PT 4 Skill Tables'!N16=1), 1, 0),IF(PTKEY=6,IF(AND('PT 5 Skill Tables'!Q16=1,'PT 5 Skill Tables'!N16=1),1,0),IF(PTKEY=7,IF(AND('PT 6 Skill Tables'!Q16=1,'PT 6 Skill Tables'!N16=1),1,0),""))))))</f>
        <v>0</v>
      </c>
      <c r="AD15" s="93">
        <f>IF(PTKEY=2, IF(AND('PT 1 Skill Tables'!X16=1,'PT 1 Skill Tables'!W16=1), 1, 0), IF(PTKEY=3,IF(AND('PT 2 Skill Tables'!X16=1,'PT 2 Skill Tables'!W16=1), 1, 0),IF(PTKEY=4,IF(AND('PT 3 Skill Tables'!X16=1,'PT 3 Skill Tables'!W16=1), 1, 0),IF(PTKEY=5,IF(AND('PT 4 Skill Tables'!X16=1,'PT 4 Skill Tables'!W16=1), 1, 0),IF(PTKEY=6,IF(AND('PT 5 Skill Tables'!X16=1,'PT 5 Skill Tables'!W16=1),1,0), IF(PTKEY=7,IF(AND('PT 6 Skill Tables'!X16=1,'PT 6 Skill Tables'!W16=1),1,0),""))))))</f>
        <v>0</v>
      </c>
      <c r="AE15" s="93">
        <f>IF(PTKEY=2, IF(AND('PT 1 Skill Tables'!AE16=1,'PT 1 Skill Tables'!AD16=1), 1, 0), IF(PTKEY=3,IF(AND('PT 2 Skill Tables'!AE16=1,'PT 2 Skill Tables'!AD16=1), 1, 0),IF(PTKEY=4,IF(AND('PT 3 Skill Tables'!AE16=1,'PT 3 Skill Tables'!AD16=1), 1, 0),IF(PTKEY=5,IF(AND('PT 4 Skill Tables'!AE16=1,'PT 4 Skill Tables'!AD16=1), 1, 0),IF(PTKEY=6,IF(AND('PT 5 Skill Tables'!AE16=1,'PT 5 Skill Tables'!AD16=1),1,0),IF(PTKEY=7,IF(AND('PT 6 Skill Tables'!AE16=1,'PT 6 Skill Tables'!AD16=1),1,0),""))))))</f>
        <v>0</v>
      </c>
      <c r="AG15" s="93">
        <v>12</v>
      </c>
      <c r="AH15" s="93">
        <f>IF(PTKEY=2, IF(AND('PT 1 Skill Tables'!I16=1,'PT 1 Skill Tables'!E16=1), 1, 0), IF(PTKEY=3,IF(AND('PT 2 Skill Tables'!I16=1,'PT 2 Skill Tables'!E16=1), 1, 0), IF(PTKEY=4,IF(AND('PT 3 Skill Tables'!I16=1,'PT 3 Skill Tables'!E16=1), 1, 0),IF(PTKEY=5,IF(AND('PT 4 Skill Tables'!I16=1,'PT 4 Skill Tables'!E16=1), 1, 0),IF(PTKEY=6,IF(AND('PT 5 Skill Tables'!I16=1,'PT 5 Skill Tables'!E16=1),1,0),IF(PTKEY=7,IF(AND('PT 6 Skill Tables'!I16=1,'PT 6 Skill Tables'!E16=1),1,0),""))))))</f>
        <v>0</v>
      </c>
      <c r="AI15" s="93">
        <f>IF(PTKEY=2,IF(AND('PT 1 Skill Tables'!R16=1,'PT 1 Skill Tables'!N16=1),1,0),IF(PTKEY=3,IF(AND('PT 2 Skill Tables'!R16=1,'PT 2 Skill Tables'!N16=1),1,0),IF(PTKEY=4,IF(AND('PT 3 Skill Tables'!R16=1,'PT 3 Skill Tables'!N16=1),1,0),IF(PTKEY=5,IF(AND('PT 4 Skill Tables'!R16=1,'PT 4 Skill Tables'!N16=1),1,0),IF(PTKEY=6,IF(AND('PT 5 Skill Tables'!R16=1,'PT 5 Skill Tables'!N16=1),1,0),IF(PTKEY=7,IF(AND('PT 6 Skill Tables'!R16=1,'PT 6 Skill Tables'!N16=1),1,0),""))))))</f>
        <v>0</v>
      </c>
      <c r="AJ15" s="93">
        <f>IF(PTKEY=2,IF(AND('PT 1 Skill Tables'!Y16=1,'PT 1 Skill Tables'!W16=1),1,0),IF(PTKEY=3,IF(AND('PT 2 Skill Tables'!Y16=1,'PT 2 Skill Tables'!W16=1),1,0),IF(PTKEY=4,IF(AND('PT 3 Skill Tables'!Y16=1,'PT 3 Skill Tables'!W16=1),1,0),IF(PTKEY=5,IF(AND('PT 4 Skill Tables'!Y16=1,'PT 4 Skill Tables'!W16=1),1,0),IF(PTKEY=6,IF(AND('PT 5 Skill Tables'!Y16=1,'PT 5 Skill Tables'!W16=1),1,0),IF(PTKEY=7,IF(AND('PT 6 Skill Tables'!Y16=1,'PT 6 Skill Tables'!W16=1),1,0),""))))))</f>
        <v>0</v>
      </c>
      <c r="AK15" s="93">
        <f>IF(PTKEY=2,IF(AND('PT 1 Skill Tables'!AF16=1,'PT 1 Skill Tables'!AD16=1),1,0),IF(PTKEY=3,IF(AND('PT 2 Skill Tables'!AF16=1,'PT 2 Skill Tables'!AD16=1),1,0),IF(PTKEY=4,IF(AND('PT 3 Skill Tables'!AF16=1,'PT 3 Skill Tables'!AD16=1),1,0),IF(PTKEY=5,IF(AND('PT 4 Skill Tables'!AF16=1,'PT 4 Skill Tables'!AD16=1),1,0),IF(PTKEY=6,IF(AND('PT 5 Skill Tables'!AF16=1,'PT 5 Skill Tables'!AD16=1),1,0),IF(PTKEY=7,IF(AND('PT 6 Skill Tables'!AF16=1,'PT 6 Skill Tables'!AD16=1),1,0),""))))))</f>
        <v>0</v>
      </c>
    </row>
    <row r="16" spans="2:37">
      <c r="G16" s="160">
        <v>13</v>
      </c>
      <c r="H16" s="159">
        <f>IF(Input!C22=(VLOOKUP(Input!B22,Table2[#All],PTKEY,TRUE)), 1, 0)</f>
        <v>0</v>
      </c>
      <c r="J16" s="160">
        <v>13</v>
      </c>
      <c r="K16" s="159">
        <f>IF(Input!E22=(VLOOKUP(Input!D22,Table3[#All],PTKEY,TRUE)), 1, 0)</f>
        <v>0</v>
      </c>
      <c r="M16" s="160">
        <v>13</v>
      </c>
      <c r="N16" s="159">
        <f>IF(Input!G22=(VLOOKUP(Input!F22,Table7[#All],PTKEY,TRUE)), 1, 0)</f>
        <v>0</v>
      </c>
      <c r="P16" s="160">
        <v>13</v>
      </c>
      <c r="Q16" s="159">
        <f>IF(Input!I22=(VLOOKUP(Input!H22,Table5[#All],PTKEY,TRUE)), 1, 0)</f>
        <v>0</v>
      </c>
      <c r="S16" s="93">
        <v>13</v>
      </c>
      <c r="T16" s="93">
        <f>IF(PTKEY=2,IF(AND('PT 1 Skill Tables'!F17=1,'PT 1 Skill Tables'!E17=1),1,0),IF(PTKEY=3,IF(AND('PT 2 Skill Tables'!F17=1,'PT 2 Skill Tables'!E17=1),1,0),IF(PTKEY=4,IF(AND('PT 3 Skill Tables'!F17=1,'PT 3 Skill Tables'!E17=1),1,0),IF(PTKEY=5,IF(AND('PT 4 Skill Tables'!F17=1,'PT 4 Skill Tables'!E17=1),1,0),IF(PTKEY=6,IF(AND('PT 5 Skill Tables'!F17=1,'PT 5 Skill Tables'!E17=1),1,0),IF(PTKEY=7,IF(AND('PT 6 Skill Tables'!F17=1,'PT 6 Skill Tables'!E17=1),1,0),""))))))</f>
        <v>0</v>
      </c>
      <c r="U16" s="93">
        <f>IF(PTKEY=2,IF(AND('PT 1 Skill Tables'!O17=1,'PT 1 Skill Tables'!N17=1),1,0),IF(PTKEY=3,IF(AND('PT 2 Skill Tables'!O17=1,'PT 2 Skill Tables'!N17=1),1,0),IF(PTKEY=4,IF(AND('PT 3 Skill Tables'!O17=1,'PT 3 Skill Tables'!N17=1),1,0),IF(PTKEY=5,IF(AND('PT 4 Skill Tables'!O17=1,'PT 4 Skill Tables'!N17=1),1,0),IF(PTKEY=6,IF(AND('PT 5 Skill Tables'!O17=1,'PT 5 Skill Tables'!N17=1),1,0),IF(PTKEY=7,IF(AND('PT 6 Skill Tables'!O17=1,'PT 6 Skill Tables'!N17=1),1,0),""))))))</f>
        <v>0</v>
      </c>
      <c r="W16" s="93">
        <v>13</v>
      </c>
      <c r="X16" s="93">
        <f>IF(PTKEY=2,IF(AND('PT 1 Skill Tables'!G17=1,'PT 1 Skill Tables'!E17=1),1,0),IF(PTKEY=3,IF(AND('PT 2 Skill Tables'!G17=1,'PT 2 Skill Tables'!E17=1),1,0),IF(PTKEY=4,IF(AND('PT 3 Skill Tables'!G17=1,'PT 3 Skill Tables'!E17=1),1,0),IF(PTKEY=5,IF(AND('PT 4 Skill Tables'!G17=1,'PT 4 Skill Tables'!E17=1),1,0),IF(PTKEY=6,IF(AND('PT 5 Skill Tables'!G17=1,'PT 5 Skill Tables'!E17=1),1,0),IF(PTKEY=7,IF(AND('PT 6 Skill Tables'!G17=1,'PT 6 Skill Tables'!E17=1),1,0),""))))))</f>
        <v>0</v>
      </c>
      <c r="Y16" s="93">
        <f>IF(PTKEY=2,IF(AND('PT 1 Skill Tables'!P17=1,'PT 1 Skill Tables'!N17=1),1,0),IF(PTKEY=3,IF(AND('PT 2 Skill Tables'!P17=1,'PT 2 Skill Tables'!N17=1),1,0),IF(PTKEY=4,IF(AND('PT 3 Skill Tables'!P17=1,'PT 3 Skill Tables'!N17=1),1,0),IF(PTKEY=5,IF(AND('PT 4 Skill Tables'!P17=1,'PT 4 Skill Tables'!N17=1),1,0),IF(PTKEY=6,IF(AND('PT 5 Skill Tables'!P17=1,'PT 5 Skill Tables'!N17=1),1,0),IF(PTKEY=7,IF(AND('PT 6 Skill Tables'!P17=1,'PT 6 Skill Tables'!N17=1),1,0),""))))))</f>
        <v>0</v>
      </c>
      <c r="AA16" s="135">
        <v>13</v>
      </c>
      <c r="AB16" s="93">
        <f>IF(PTKEY=2, IF(AND('PT 1 Skill Tables'!H17=1,'PT 1 Skill Tables'!E17=1), 1, 0), IF(PTKEY=3,IF(AND('PT 2 Skill Tables'!H17=1,'PT 2 Skill Tables'!E17=1), 1, 0),IF(PTKEY=4,IF(AND('PT 3 Skill Tables'!H17=1,'PT 3 Skill Tables'!E17=1), 1, 0), IF(PTKEY=5,IF(AND('PT 4 Skill Tables'!H17=1,'PT 4 Skill Tables'!E17=1), 1, 0),IF(PTKEY=6,IF(AND('PT 5 Skill Tables'!H17=1,'PT 5 Skill Tables'!E17=1),1,0),IF(PTKEY=7,IF(AND('PT 6 Skill Tables'!H17=1,'PT 6 Skill Tables'!E17=1),1,0),""))))))</f>
        <v>0</v>
      </c>
      <c r="AC16" s="93">
        <f>IF(PTKEY=2, IF(AND('PT 1 Skill Tables'!Q17=1,'PT 1 Skill Tables'!N17=1), 1, 0), IF(PTKEY=3,IF(AND('PT 2 Skill Tables'!Q17=1,'PT 2 Skill Tables'!N17=1), 1, 0),IF(PTKEY=4,IF(AND('PT 3 Skill Tables'!Q17=1,'PT 3 Skill Tables'!N17=1), 1, 0), IF(PTKEY=5,IF(AND('PT 4 Skill Tables'!Q17=1,'PT 4 Skill Tables'!N17=1), 1, 0),IF(PTKEY=6,IF(AND('PT 5 Skill Tables'!Q17=1,'PT 5 Skill Tables'!N17=1),1,0),IF(PTKEY=7,IF(AND('PT 6 Skill Tables'!Q17=1,'PT 6 Skill Tables'!N17=1),1,0),""))))))</f>
        <v>0</v>
      </c>
      <c r="AD16" s="93">
        <f>IF(PTKEY=2, IF(AND('PT 1 Skill Tables'!X17=1,'PT 1 Skill Tables'!W17=1), 1, 0), IF(PTKEY=3,IF(AND('PT 2 Skill Tables'!X17=1,'PT 2 Skill Tables'!W17=1), 1, 0),IF(PTKEY=4,IF(AND('PT 3 Skill Tables'!X17=1,'PT 3 Skill Tables'!W17=1), 1, 0),IF(PTKEY=5,IF(AND('PT 4 Skill Tables'!X17=1,'PT 4 Skill Tables'!W17=1), 1, 0),IF(PTKEY=6,IF(AND('PT 5 Skill Tables'!X17=1,'PT 5 Skill Tables'!W17=1),1,0), IF(PTKEY=7,IF(AND('PT 6 Skill Tables'!X17=1,'PT 6 Skill Tables'!W17=1),1,0),""))))))</f>
        <v>0</v>
      </c>
      <c r="AE16" s="93">
        <f>IF(PTKEY=2, IF(AND('PT 1 Skill Tables'!AE17=1,'PT 1 Skill Tables'!AD17=1), 1, 0), IF(PTKEY=3,IF(AND('PT 2 Skill Tables'!AE17=1,'PT 2 Skill Tables'!AD17=1), 1, 0),IF(PTKEY=4,IF(AND('PT 3 Skill Tables'!AE17=1,'PT 3 Skill Tables'!AD17=1), 1, 0),IF(PTKEY=5,IF(AND('PT 4 Skill Tables'!AE17=1,'PT 4 Skill Tables'!AD17=1), 1, 0),IF(PTKEY=6,IF(AND('PT 5 Skill Tables'!AE17=1,'PT 5 Skill Tables'!AD17=1),1,0),IF(PTKEY=7,IF(AND('PT 6 Skill Tables'!AE17=1,'PT 6 Skill Tables'!AD17=1),1,0),""))))))</f>
        <v>0</v>
      </c>
      <c r="AG16" s="93">
        <v>13</v>
      </c>
      <c r="AH16" s="93">
        <f>IF(PTKEY=2, IF(AND('PT 1 Skill Tables'!I17=1,'PT 1 Skill Tables'!E17=1), 1, 0), IF(PTKEY=3,IF(AND('PT 2 Skill Tables'!I17=1,'PT 2 Skill Tables'!E17=1), 1, 0), IF(PTKEY=4,IF(AND('PT 3 Skill Tables'!I17=1,'PT 3 Skill Tables'!E17=1), 1, 0),IF(PTKEY=5,IF(AND('PT 4 Skill Tables'!I17=1,'PT 4 Skill Tables'!E17=1), 1, 0),IF(PTKEY=6,IF(AND('PT 5 Skill Tables'!I17=1,'PT 5 Skill Tables'!E17=1),1,0),IF(PTKEY=7,IF(AND('PT 6 Skill Tables'!I17=1,'PT 6 Skill Tables'!E17=1),1,0),""))))))</f>
        <v>0</v>
      </c>
      <c r="AI16" s="93">
        <f>IF(PTKEY=2,IF(AND('PT 1 Skill Tables'!R17=1,'PT 1 Skill Tables'!N17=1),1,0),IF(PTKEY=3,IF(AND('PT 2 Skill Tables'!R17=1,'PT 2 Skill Tables'!N17=1),1,0),IF(PTKEY=4,IF(AND('PT 3 Skill Tables'!R17=1,'PT 3 Skill Tables'!N17=1),1,0),IF(PTKEY=5,IF(AND('PT 4 Skill Tables'!R17=1,'PT 4 Skill Tables'!N17=1),1,0),IF(PTKEY=6,IF(AND('PT 5 Skill Tables'!R17=1,'PT 5 Skill Tables'!N17=1),1,0),IF(PTKEY=7,IF(AND('PT 6 Skill Tables'!R17=1,'PT 6 Skill Tables'!N17=1),1,0),""))))))</f>
        <v>0</v>
      </c>
      <c r="AJ16" s="93">
        <f>IF(PTKEY=2,IF(AND('PT 1 Skill Tables'!Y17=1,'PT 1 Skill Tables'!W17=1),1,0),IF(PTKEY=3,IF(AND('PT 2 Skill Tables'!Y17=1,'PT 2 Skill Tables'!W17=1),1,0),IF(PTKEY=4,IF(AND('PT 3 Skill Tables'!Y17=1,'PT 3 Skill Tables'!W17=1),1,0),IF(PTKEY=5,IF(AND('PT 4 Skill Tables'!Y17=1,'PT 4 Skill Tables'!W17=1),1,0),IF(PTKEY=6,IF(AND('PT 5 Skill Tables'!Y17=1,'PT 5 Skill Tables'!W17=1),1,0),IF(PTKEY=7,IF(AND('PT 6 Skill Tables'!Y17=1,'PT 6 Skill Tables'!W17=1),1,0),""))))))</f>
        <v>0</v>
      </c>
      <c r="AK16" s="93">
        <f>IF(PTKEY=2,IF(AND('PT 1 Skill Tables'!AF17=1,'PT 1 Skill Tables'!AD17=1),1,0),IF(PTKEY=3,IF(AND('PT 2 Skill Tables'!AF17=1,'PT 2 Skill Tables'!AD17=1),1,0),IF(PTKEY=4,IF(AND('PT 3 Skill Tables'!AF17=1,'PT 3 Skill Tables'!AD17=1),1,0),IF(PTKEY=5,IF(AND('PT 4 Skill Tables'!AF17=1,'PT 4 Skill Tables'!AD17=1),1,0),IF(PTKEY=6,IF(AND('PT 5 Skill Tables'!AF17=1,'PT 5 Skill Tables'!AD17=1),1,0),IF(PTKEY=7,IF(AND('PT 6 Skill Tables'!AF17=1,'PT 6 Skill Tables'!AD17=1),1,0),""))))))</f>
        <v>0</v>
      </c>
    </row>
    <row r="17" spans="7:37">
      <c r="G17" s="158">
        <v>14</v>
      </c>
      <c r="H17" s="159">
        <f>IF(Input!C23=(VLOOKUP(Input!B23,Table2[#All],PTKEY,TRUE)), 1, 0)</f>
        <v>0</v>
      </c>
      <c r="J17" s="158">
        <v>14</v>
      </c>
      <c r="K17" s="159">
        <f>IF(Input!E23=(VLOOKUP(Input!D23,Table3[#All],PTKEY,TRUE)), 1, 0)</f>
        <v>0</v>
      </c>
      <c r="M17" s="158">
        <v>14</v>
      </c>
      <c r="N17" s="159">
        <f>IF(Input!G23=(VLOOKUP(Input!F23,Table7[#All],PTKEY,TRUE)), 1, 0)</f>
        <v>0</v>
      </c>
      <c r="P17" s="158">
        <v>14</v>
      </c>
      <c r="Q17" s="159">
        <f>IF(Input!I23=(VLOOKUP(Input!H23,Table5[#All],PTKEY,TRUE)), 1, 0)</f>
        <v>0</v>
      </c>
      <c r="S17" s="93">
        <v>14</v>
      </c>
      <c r="T17" s="93">
        <f>IF(PTKEY=2,IF(AND('PT 1 Skill Tables'!F18=1,'PT 1 Skill Tables'!E18=1),1,0),IF(PTKEY=3,IF(AND('PT 2 Skill Tables'!F18=1,'PT 2 Skill Tables'!E18=1),1,0),IF(PTKEY=4,IF(AND('PT 3 Skill Tables'!F18=1,'PT 3 Skill Tables'!E18=1),1,0),IF(PTKEY=5,IF(AND('PT 4 Skill Tables'!F18=1,'PT 4 Skill Tables'!E18=1),1,0),IF(PTKEY=6,IF(AND('PT 5 Skill Tables'!F18=1,'PT 5 Skill Tables'!E18=1),1,0),IF(PTKEY=7,IF(AND('PT 6 Skill Tables'!F18=1,'PT 6 Skill Tables'!E18=1),1,0),""))))))</f>
        <v>0</v>
      </c>
      <c r="U17" s="93">
        <f>IF(PTKEY=2,IF(AND('PT 1 Skill Tables'!O18=1,'PT 1 Skill Tables'!N18=1),1,0),IF(PTKEY=3,IF(AND('PT 2 Skill Tables'!O18=1,'PT 2 Skill Tables'!N18=1),1,0),IF(PTKEY=4,IF(AND('PT 3 Skill Tables'!O18=1,'PT 3 Skill Tables'!N18=1),1,0),IF(PTKEY=5,IF(AND('PT 4 Skill Tables'!O18=1,'PT 4 Skill Tables'!N18=1),1,0),IF(PTKEY=6,IF(AND('PT 5 Skill Tables'!O18=1,'PT 5 Skill Tables'!N18=1),1,0),IF(PTKEY=7,IF(AND('PT 6 Skill Tables'!O18=1,'PT 6 Skill Tables'!N18=1),1,0),""))))))</f>
        <v>0</v>
      </c>
      <c r="W17" s="93">
        <v>14</v>
      </c>
      <c r="X17" s="93">
        <f>IF(PTKEY=2,IF(AND('PT 1 Skill Tables'!G18=1,'PT 1 Skill Tables'!E18=1),1,0),IF(PTKEY=3,IF(AND('PT 2 Skill Tables'!G18=1,'PT 2 Skill Tables'!E18=1),1,0),IF(PTKEY=4,IF(AND('PT 3 Skill Tables'!G18=1,'PT 3 Skill Tables'!E18=1),1,0),IF(PTKEY=5,IF(AND('PT 4 Skill Tables'!G18=1,'PT 4 Skill Tables'!E18=1),1,0),IF(PTKEY=6,IF(AND('PT 5 Skill Tables'!G18=1,'PT 5 Skill Tables'!E18=1),1,0),IF(PTKEY=7,IF(AND('PT 6 Skill Tables'!G18=1,'PT 6 Skill Tables'!E18=1),1,0),""))))))</f>
        <v>0</v>
      </c>
      <c r="Y17" s="93">
        <f>IF(PTKEY=2,IF(AND('PT 1 Skill Tables'!P18=1,'PT 1 Skill Tables'!N18=1),1,0),IF(PTKEY=3,IF(AND('PT 2 Skill Tables'!P18=1,'PT 2 Skill Tables'!N18=1),1,0),IF(PTKEY=4,IF(AND('PT 3 Skill Tables'!P18=1,'PT 3 Skill Tables'!N18=1),1,0),IF(PTKEY=5,IF(AND('PT 4 Skill Tables'!P18=1,'PT 4 Skill Tables'!N18=1),1,0),IF(PTKEY=6,IF(AND('PT 5 Skill Tables'!P18=1,'PT 5 Skill Tables'!N18=1),1,0),IF(PTKEY=7,IF(AND('PT 6 Skill Tables'!P18=1,'PT 6 Skill Tables'!N18=1),1,0),""))))))</f>
        <v>0</v>
      </c>
      <c r="AA17" s="136">
        <v>14</v>
      </c>
      <c r="AB17" s="93">
        <f>IF(PTKEY=2, IF(AND('PT 1 Skill Tables'!H18=1,'PT 1 Skill Tables'!E18=1), 1, 0), IF(PTKEY=3,IF(AND('PT 2 Skill Tables'!H18=1,'PT 2 Skill Tables'!E18=1), 1, 0),IF(PTKEY=4,IF(AND('PT 3 Skill Tables'!H18=1,'PT 3 Skill Tables'!E18=1), 1, 0), IF(PTKEY=5,IF(AND('PT 4 Skill Tables'!H18=1,'PT 4 Skill Tables'!E18=1), 1, 0),IF(PTKEY=6,IF(AND('PT 5 Skill Tables'!H18=1,'PT 5 Skill Tables'!E18=1),1,0),IF(PTKEY=7,IF(AND('PT 6 Skill Tables'!H18=1,'PT 6 Skill Tables'!E18=1),1,0),""))))))</f>
        <v>0</v>
      </c>
      <c r="AC17" s="93">
        <f>IF(PTKEY=2, IF(AND('PT 1 Skill Tables'!Q18=1,'PT 1 Skill Tables'!N18=1), 1, 0), IF(PTKEY=3,IF(AND('PT 2 Skill Tables'!Q18=1,'PT 2 Skill Tables'!N18=1), 1, 0),IF(PTKEY=4,IF(AND('PT 3 Skill Tables'!Q18=1,'PT 3 Skill Tables'!N18=1), 1, 0), IF(PTKEY=5,IF(AND('PT 4 Skill Tables'!Q18=1,'PT 4 Skill Tables'!N18=1), 1, 0),IF(PTKEY=6,IF(AND('PT 5 Skill Tables'!Q18=1,'PT 5 Skill Tables'!N18=1),1,0),IF(PTKEY=7,IF(AND('PT 6 Skill Tables'!Q18=1,'PT 6 Skill Tables'!N18=1),1,0),""))))))</f>
        <v>0</v>
      </c>
      <c r="AD17" s="93">
        <f>IF(PTKEY=2, IF(AND('PT 1 Skill Tables'!X18=1,'PT 1 Skill Tables'!W18=1), 1, 0), IF(PTKEY=3,IF(AND('PT 2 Skill Tables'!X18=1,'PT 2 Skill Tables'!W18=1), 1, 0),IF(PTKEY=4,IF(AND('PT 3 Skill Tables'!X18=1,'PT 3 Skill Tables'!W18=1), 1, 0),IF(PTKEY=5,IF(AND('PT 4 Skill Tables'!X18=1,'PT 4 Skill Tables'!W18=1), 1, 0),IF(PTKEY=6,IF(AND('PT 5 Skill Tables'!X18=1,'PT 5 Skill Tables'!W18=1),1,0), IF(PTKEY=7,IF(AND('PT 6 Skill Tables'!X18=1,'PT 6 Skill Tables'!W18=1),1,0),""))))))</f>
        <v>0</v>
      </c>
      <c r="AE17" s="93">
        <f>IF(PTKEY=2, IF(AND('PT 1 Skill Tables'!AE18=1,'PT 1 Skill Tables'!AD18=1), 1, 0), IF(PTKEY=3,IF(AND('PT 2 Skill Tables'!AE18=1,'PT 2 Skill Tables'!AD18=1), 1, 0),IF(PTKEY=4,IF(AND('PT 3 Skill Tables'!AE18=1,'PT 3 Skill Tables'!AD18=1), 1, 0),IF(PTKEY=5,IF(AND('PT 4 Skill Tables'!AE18=1,'PT 4 Skill Tables'!AD18=1), 1, 0),IF(PTKEY=6,IF(AND('PT 5 Skill Tables'!AE18=1,'PT 5 Skill Tables'!AD18=1),1,0),IF(PTKEY=7,IF(AND('PT 6 Skill Tables'!AE18=1,'PT 6 Skill Tables'!AD18=1),1,0),""))))))</f>
        <v>0</v>
      </c>
      <c r="AG17" s="93">
        <v>14</v>
      </c>
      <c r="AH17" s="93">
        <f>IF(PTKEY=2, IF(AND('PT 1 Skill Tables'!I18=1,'PT 1 Skill Tables'!E18=1), 1, 0), IF(PTKEY=3,IF(AND('PT 2 Skill Tables'!I18=1,'PT 2 Skill Tables'!E18=1), 1, 0), IF(PTKEY=4,IF(AND('PT 3 Skill Tables'!I18=1,'PT 3 Skill Tables'!E18=1), 1, 0),IF(PTKEY=5,IF(AND('PT 4 Skill Tables'!I18=1,'PT 4 Skill Tables'!E18=1), 1, 0),IF(PTKEY=6,IF(AND('PT 5 Skill Tables'!I18=1,'PT 5 Skill Tables'!E18=1),1,0),IF(PTKEY=7,IF(AND('PT 6 Skill Tables'!I18=1,'PT 6 Skill Tables'!E18=1),1,0),""))))))</f>
        <v>0</v>
      </c>
      <c r="AI17" s="93">
        <f>IF(PTKEY=2,IF(AND('PT 1 Skill Tables'!R18=1,'PT 1 Skill Tables'!N18=1),1,0),IF(PTKEY=3,IF(AND('PT 2 Skill Tables'!R18=1,'PT 2 Skill Tables'!N18=1),1,0),IF(PTKEY=4,IF(AND('PT 3 Skill Tables'!R18=1,'PT 3 Skill Tables'!N18=1),1,0),IF(PTKEY=5,IF(AND('PT 4 Skill Tables'!R18=1,'PT 4 Skill Tables'!N18=1),1,0),IF(PTKEY=6,IF(AND('PT 5 Skill Tables'!R18=1,'PT 5 Skill Tables'!N18=1),1,0),IF(PTKEY=7,IF(AND('PT 6 Skill Tables'!R18=1,'PT 6 Skill Tables'!N18=1),1,0),""))))))</f>
        <v>0</v>
      </c>
      <c r="AJ17" s="93">
        <f>IF(PTKEY=2,IF(AND('PT 1 Skill Tables'!Y18=1,'PT 1 Skill Tables'!W18=1),1,0),IF(PTKEY=3,IF(AND('PT 2 Skill Tables'!Y18=1,'PT 2 Skill Tables'!W18=1),1,0),IF(PTKEY=4,IF(AND('PT 3 Skill Tables'!Y18=1,'PT 3 Skill Tables'!W18=1),1,0),IF(PTKEY=5,IF(AND('PT 4 Skill Tables'!Y18=1,'PT 4 Skill Tables'!W18=1),1,0),IF(PTKEY=6,IF(AND('PT 5 Skill Tables'!Y18=1,'PT 5 Skill Tables'!W18=1),1,0),IF(PTKEY=7,IF(AND('PT 6 Skill Tables'!Y18=1,'PT 6 Skill Tables'!W18=1),1,0),""))))))</f>
        <v>0</v>
      </c>
      <c r="AK17" s="93">
        <f>IF(PTKEY=2,IF(AND('PT 1 Skill Tables'!AF18=1,'PT 1 Skill Tables'!AD18=1),1,0),IF(PTKEY=3,IF(AND('PT 2 Skill Tables'!AF18=1,'PT 2 Skill Tables'!AD18=1),1,0),IF(PTKEY=4,IF(AND('PT 3 Skill Tables'!AF18=1,'PT 3 Skill Tables'!AD18=1),1,0),IF(PTKEY=5,IF(AND('PT 4 Skill Tables'!AF18=1,'PT 4 Skill Tables'!AD18=1),1,0),IF(PTKEY=6,IF(AND('PT 5 Skill Tables'!AF18=1,'PT 5 Skill Tables'!AD18=1),1,0),IF(PTKEY=7,IF(AND('PT 6 Skill Tables'!AF18=1,'PT 6 Skill Tables'!AD18=1),1,0),""))))))</f>
        <v>0</v>
      </c>
    </row>
    <row r="18" spans="7:37">
      <c r="G18" s="160">
        <v>15</v>
      </c>
      <c r="H18" s="159">
        <f>IF(Input!C24=(VLOOKUP(Input!B24,Table2[#All],PTKEY,TRUE)), 1, 0)</f>
        <v>0</v>
      </c>
      <c r="J18" s="160">
        <v>15</v>
      </c>
      <c r="K18" s="159">
        <f>IF(Input!E24=(VLOOKUP(Input!D24,Table3[#All],PTKEY,TRUE)), 1, 0)</f>
        <v>0</v>
      </c>
      <c r="M18" s="160">
        <v>15</v>
      </c>
      <c r="N18" s="159">
        <f>IF(Input!G24=(VLOOKUP(Input!F24,Table7[#All],PTKEY,TRUE)), 1, 0)</f>
        <v>0</v>
      </c>
      <c r="P18" s="160">
        <v>15</v>
      </c>
      <c r="Q18" s="159">
        <f>IF(Input!I24=(VLOOKUP(Input!H24,Table5[#All],PTKEY,TRUE)), 1, 0)</f>
        <v>0</v>
      </c>
      <c r="S18" s="93">
        <v>15</v>
      </c>
      <c r="T18" s="93">
        <f>IF(PTKEY=2,IF(AND('PT 1 Skill Tables'!F19=1,'PT 1 Skill Tables'!E19=1),1,0),IF(PTKEY=3,IF(AND('PT 2 Skill Tables'!F19=1,'PT 2 Skill Tables'!E19=1),1,0),IF(PTKEY=4,IF(AND('PT 3 Skill Tables'!F19=1,'PT 3 Skill Tables'!E19=1),1,0),IF(PTKEY=5,IF(AND('PT 4 Skill Tables'!F19=1,'PT 4 Skill Tables'!E19=1),1,0),IF(PTKEY=6,IF(AND('PT 5 Skill Tables'!F19=1,'PT 5 Skill Tables'!E19=1),1,0),IF(PTKEY=7,IF(AND('PT 6 Skill Tables'!F19=1,'PT 6 Skill Tables'!E19=1),1,0),""))))))</f>
        <v>0</v>
      </c>
      <c r="U18" s="93">
        <f>IF(PTKEY=2,IF(AND('PT 1 Skill Tables'!O19=1,'PT 1 Skill Tables'!N19=1),1,0),IF(PTKEY=3,IF(AND('PT 2 Skill Tables'!O19=1,'PT 2 Skill Tables'!N19=1),1,0),IF(PTKEY=4,IF(AND('PT 3 Skill Tables'!O19=1,'PT 3 Skill Tables'!N19=1),1,0),IF(PTKEY=5,IF(AND('PT 4 Skill Tables'!O19=1,'PT 4 Skill Tables'!N19=1),1,0),IF(PTKEY=6,IF(AND('PT 5 Skill Tables'!O19=1,'PT 5 Skill Tables'!N19=1),1,0),IF(PTKEY=7,IF(AND('PT 6 Skill Tables'!O19=1,'PT 6 Skill Tables'!N19=1),1,0),""))))))</f>
        <v>0</v>
      </c>
      <c r="W18" s="93">
        <v>15</v>
      </c>
      <c r="X18" s="93">
        <f>IF(PTKEY=2,IF(AND('PT 1 Skill Tables'!G19=1,'PT 1 Skill Tables'!E19=1),1,0),IF(PTKEY=3,IF(AND('PT 2 Skill Tables'!G19=1,'PT 2 Skill Tables'!E19=1),1,0),IF(PTKEY=4,IF(AND('PT 3 Skill Tables'!G19=1,'PT 3 Skill Tables'!E19=1),1,0),IF(PTKEY=5,IF(AND('PT 4 Skill Tables'!G19=1,'PT 4 Skill Tables'!E19=1),1,0),IF(PTKEY=6,IF(AND('PT 5 Skill Tables'!G19=1,'PT 5 Skill Tables'!E19=1),1,0),IF(PTKEY=7,IF(AND('PT 6 Skill Tables'!G19=1,'PT 6 Skill Tables'!E19=1),1,0),""))))))</f>
        <v>0</v>
      </c>
      <c r="Y18" s="93">
        <f>IF(PTKEY=2,IF(AND('PT 1 Skill Tables'!P19=1,'PT 1 Skill Tables'!N19=1),1,0),IF(PTKEY=3,IF(AND('PT 2 Skill Tables'!P19=1,'PT 2 Skill Tables'!N19=1),1,0),IF(PTKEY=4,IF(AND('PT 3 Skill Tables'!P19=1,'PT 3 Skill Tables'!N19=1),1,0),IF(PTKEY=5,IF(AND('PT 4 Skill Tables'!P19=1,'PT 4 Skill Tables'!N19=1),1,0),IF(PTKEY=6,IF(AND('PT 5 Skill Tables'!P19=1,'PT 5 Skill Tables'!N19=1),1,0),IF(PTKEY=7,IF(AND('PT 6 Skill Tables'!P19=1,'PT 6 Skill Tables'!N19=1),1,0),""))))))</f>
        <v>0</v>
      </c>
      <c r="AA18" s="135">
        <v>15</v>
      </c>
      <c r="AB18" s="93">
        <f>IF(PTKEY=2, IF(AND('PT 1 Skill Tables'!H19=1,'PT 1 Skill Tables'!E19=1), 1, 0), IF(PTKEY=3,IF(AND('PT 2 Skill Tables'!H19=1,'PT 2 Skill Tables'!E19=1), 1, 0),IF(PTKEY=4,IF(AND('PT 3 Skill Tables'!H19=1,'PT 3 Skill Tables'!E19=1), 1, 0), IF(PTKEY=5,IF(AND('PT 4 Skill Tables'!H19=1,'PT 4 Skill Tables'!E19=1), 1, 0),IF(PTKEY=6,IF(AND('PT 5 Skill Tables'!H19=1,'PT 5 Skill Tables'!E19=1),1,0),IF(PTKEY=7,IF(AND('PT 6 Skill Tables'!H19=1,'PT 6 Skill Tables'!E19=1),1,0),""))))))</f>
        <v>0</v>
      </c>
      <c r="AC18" s="93">
        <f>IF(PTKEY=2, IF(AND('PT 1 Skill Tables'!Q19=1,'PT 1 Skill Tables'!N19=1), 1, 0), IF(PTKEY=3,IF(AND('PT 2 Skill Tables'!Q19=1,'PT 2 Skill Tables'!N19=1), 1, 0),IF(PTKEY=4,IF(AND('PT 3 Skill Tables'!Q19=1,'PT 3 Skill Tables'!N19=1), 1, 0), IF(PTKEY=5,IF(AND('PT 4 Skill Tables'!Q19=1,'PT 4 Skill Tables'!N19=1), 1, 0),IF(PTKEY=6,IF(AND('PT 5 Skill Tables'!Q19=1,'PT 5 Skill Tables'!N19=1),1,0),IF(PTKEY=7,IF(AND('PT 6 Skill Tables'!Q19=1,'PT 6 Skill Tables'!N19=1),1,0),""))))))</f>
        <v>0</v>
      </c>
      <c r="AD18" s="93">
        <f>IF(PTKEY=2, IF(AND('PT 1 Skill Tables'!X19=1,'PT 1 Skill Tables'!W19=1), 1, 0), IF(PTKEY=3,IF(AND('PT 2 Skill Tables'!X19=1,'PT 2 Skill Tables'!W19=1), 1, 0),IF(PTKEY=4,IF(AND('PT 3 Skill Tables'!X19=1,'PT 3 Skill Tables'!W19=1), 1, 0),IF(PTKEY=5,IF(AND('PT 4 Skill Tables'!X19=1,'PT 4 Skill Tables'!W19=1), 1, 0),IF(PTKEY=6,IF(AND('PT 5 Skill Tables'!X19=1,'PT 5 Skill Tables'!W19=1),1,0), IF(PTKEY=7,IF(AND('PT 6 Skill Tables'!X19=1,'PT 6 Skill Tables'!W19=1),1,0),""))))))</f>
        <v>0</v>
      </c>
      <c r="AE18" s="93">
        <f>IF(PTKEY=2, IF(AND('PT 1 Skill Tables'!AE19=1,'PT 1 Skill Tables'!AD19=1), 1, 0), IF(PTKEY=3,IF(AND('PT 2 Skill Tables'!AE19=1,'PT 2 Skill Tables'!AD19=1), 1, 0),IF(PTKEY=4,IF(AND('PT 3 Skill Tables'!AE19=1,'PT 3 Skill Tables'!AD19=1), 1, 0),IF(PTKEY=5,IF(AND('PT 4 Skill Tables'!AE19=1,'PT 4 Skill Tables'!AD19=1), 1, 0),IF(PTKEY=6,IF(AND('PT 5 Skill Tables'!AE19=1,'PT 5 Skill Tables'!AD19=1),1,0),IF(PTKEY=7,IF(AND('PT 6 Skill Tables'!AE19=1,'PT 6 Skill Tables'!AD19=1),1,0),""))))))</f>
        <v>0</v>
      </c>
      <c r="AG18" s="93">
        <v>15</v>
      </c>
      <c r="AH18" s="93">
        <f>IF(PTKEY=2, IF(AND('PT 1 Skill Tables'!I19=1,'PT 1 Skill Tables'!E19=1), 1, 0), IF(PTKEY=3,IF(AND('PT 2 Skill Tables'!I19=1,'PT 2 Skill Tables'!E19=1), 1, 0), IF(PTKEY=4,IF(AND('PT 3 Skill Tables'!I19=1,'PT 3 Skill Tables'!E19=1), 1, 0),IF(PTKEY=5,IF(AND('PT 4 Skill Tables'!I19=1,'PT 4 Skill Tables'!E19=1), 1, 0),IF(PTKEY=6,IF(AND('PT 5 Skill Tables'!I19=1,'PT 5 Skill Tables'!E19=1),1,0),IF(PTKEY=7,IF(AND('PT 6 Skill Tables'!I19=1,'PT 6 Skill Tables'!E19=1),1,0),""))))))</f>
        <v>0</v>
      </c>
      <c r="AI18" s="93">
        <f>IF(PTKEY=2,IF(AND('PT 1 Skill Tables'!R19=1,'PT 1 Skill Tables'!N19=1),1,0),IF(PTKEY=3,IF(AND('PT 2 Skill Tables'!R19=1,'PT 2 Skill Tables'!N19=1),1,0),IF(PTKEY=4,IF(AND('PT 3 Skill Tables'!R19=1,'PT 3 Skill Tables'!N19=1),1,0),IF(PTKEY=5,IF(AND('PT 4 Skill Tables'!R19=1,'PT 4 Skill Tables'!N19=1),1,0),IF(PTKEY=6,IF(AND('PT 5 Skill Tables'!R19=1,'PT 5 Skill Tables'!N19=1),1,0),IF(PTKEY=7,IF(AND('PT 6 Skill Tables'!R19=1,'PT 6 Skill Tables'!N19=1),1,0),""))))))</f>
        <v>0</v>
      </c>
      <c r="AJ18" s="93">
        <f>IF(PTKEY=2,IF(AND('PT 1 Skill Tables'!Y19=1,'PT 1 Skill Tables'!W19=1),1,0),IF(PTKEY=3,IF(AND('PT 2 Skill Tables'!Y19=1,'PT 2 Skill Tables'!W19=1),1,0),IF(PTKEY=4,IF(AND('PT 3 Skill Tables'!Y19=1,'PT 3 Skill Tables'!W19=1),1,0),IF(PTKEY=5,IF(AND('PT 4 Skill Tables'!Y19=1,'PT 4 Skill Tables'!W19=1),1,0),IF(PTKEY=6,IF(AND('PT 5 Skill Tables'!Y19=1,'PT 5 Skill Tables'!W19=1),1,0),IF(PTKEY=7,IF(AND('PT 6 Skill Tables'!Y19=1,'PT 6 Skill Tables'!W19=1),1,0),""))))))</f>
        <v>0</v>
      </c>
      <c r="AK18" s="93">
        <f>IF(PTKEY=2,IF(AND('PT 1 Skill Tables'!AF19=1,'PT 1 Skill Tables'!AD19=1),1,0),IF(PTKEY=3,IF(AND('PT 2 Skill Tables'!AF19=1,'PT 2 Skill Tables'!AD19=1),1,0),IF(PTKEY=4,IF(AND('PT 3 Skill Tables'!AF19=1,'PT 3 Skill Tables'!AD19=1),1,0),IF(PTKEY=5,IF(AND('PT 4 Skill Tables'!AF19=1,'PT 4 Skill Tables'!AD19=1),1,0),IF(PTKEY=6,IF(AND('PT 5 Skill Tables'!AF19=1,'PT 5 Skill Tables'!AD19=1),1,0),IF(PTKEY=7,IF(AND('PT 6 Skill Tables'!AF19=1,'PT 6 Skill Tables'!AD19=1),1,0),""))))))</f>
        <v>0</v>
      </c>
    </row>
    <row r="19" spans="7:37">
      <c r="G19" s="158">
        <v>16</v>
      </c>
      <c r="H19" s="159">
        <f>IF(Input!C25=(VLOOKUP(Input!B25,Table2[#All],PTKEY,TRUE)), 1, 0)</f>
        <v>0</v>
      </c>
      <c r="J19" s="158">
        <v>16</v>
      </c>
      <c r="K19" s="159">
        <f>IF(Input!E25=(VLOOKUP(Input!D25,Table3[#All],PTKEY,TRUE)), 1, 0)</f>
        <v>0</v>
      </c>
      <c r="M19" s="158">
        <v>16</v>
      </c>
      <c r="N19" s="159">
        <f>IF(PTDropdown="PT 2",IF(OR(Input!G25=3,Input!G25=6,Input!G25=9),1,0),IF(PTDropdown="PT 3",IF(OR(Input!G25=1,Input!G25=2),1,0),IF(PTKEY =7,IF(OR(Input!G25=1,Input!G25=2,Input!G25=4,Input!G25=8,Input!G25=16),1,0),IF(Input!G25=(VLOOKUP(Input!F25,Table7[#All],PTKEY,TRUE)),1,0))))</f>
        <v>0</v>
      </c>
      <c r="P19" s="158">
        <v>16</v>
      </c>
      <c r="Q19" s="159">
        <f>IF(Input!I25=(VLOOKUP(Input!H25,Table5[#All],PTKEY,TRUE)), 1, 0)</f>
        <v>0</v>
      </c>
      <c r="S19" s="93">
        <v>16</v>
      </c>
      <c r="T19" s="93">
        <f>IF(PTKEY=2,IF(AND('PT 1 Skill Tables'!F20=1,'PT 1 Skill Tables'!E20=1),1,0),IF(PTKEY=3,IF(AND('PT 2 Skill Tables'!F20=1,'PT 2 Skill Tables'!E20=1),1,0),IF(PTKEY=4,IF(AND('PT 3 Skill Tables'!F20=1,'PT 3 Skill Tables'!E20=1),1,0),IF(PTKEY=5,IF(AND('PT 4 Skill Tables'!F20=1,'PT 4 Skill Tables'!E20=1),1,0),IF(PTKEY=6,IF(AND('PT 5 Skill Tables'!F20=1,'PT 5 Skill Tables'!E20=1),1,0),IF(PTKEY=7,IF(AND('PT 6 Skill Tables'!F20=1,'PT 6 Skill Tables'!E20=1),1,0),""))))))</f>
        <v>0</v>
      </c>
      <c r="U19" s="93">
        <f>IF(PTKEY=2,IF(AND('PT 1 Skill Tables'!O20=1,'PT 1 Skill Tables'!N20=1),1,0),IF(PTKEY=3,IF(AND('PT 2 Skill Tables'!O20=1,'PT 2 Skill Tables'!N20=1),1,0),IF(PTKEY=4,IF(AND('PT 3 Skill Tables'!O20=1,'PT 3 Skill Tables'!N20=1),1,0),IF(PTKEY=5,IF(AND('PT 4 Skill Tables'!O20=1,'PT 4 Skill Tables'!N20=1),1,0),IF(PTKEY=6,IF(AND('PT 5 Skill Tables'!O20=1,'PT 5 Skill Tables'!N20=1),1,0),IF(PTKEY=7,IF(AND('PT 6 Skill Tables'!O20=1,'PT 6 Skill Tables'!N20=1),1,0),""))))))</f>
        <v>0</v>
      </c>
      <c r="W19" s="93">
        <v>16</v>
      </c>
      <c r="X19" s="93">
        <f>IF(PTKEY=2,IF(AND('PT 1 Skill Tables'!G20=1,'PT 1 Skill Tables'!E20=1),1,0),IF(PTKEY=3,IF(AND('PT 2 Skill Tables'!G20=1,'PT 2 Skill Tables'!E20=1),1,0),IF(PTKEY=4,IF(AND('PT 3 Skill Tables'!G20=1,'PT 3 Skill Tables'!E20=1),1,0),IF(PTKEY=5,IF(AND('PT 4 Skill Tables'!G20=1,'PT 4 Skill Tables'!E20=1),1,0),IF(PTKEY=6,IF(AND('PT 5 Skill Tables'!G20=1,'PT 5 Skill Tables'!E20=1),1,0),IF(PTKEY=7,IF(AND('PT 6 Skill Tables'!G20=1,'PT 6 Skill Tables'!E20=1),1,0),""))))))</f>
        <v>0</v>
      </c>
      <c r="Y19" s="93">
        <f>IF(PTKEY=2,IF(AND('PT 1 Skill Tables'!P20=1,'PT 1 Skill Tables'!N20=1),1,0),IF(PTKEY=3,IF(AND('PT 2 Skill Tables'!P20=1,'PT 2 Skill Tables'!N20=1),1,0),IF(PTKEY=4,IF(AND('PT 3 Skill Tables'!P20=1,'PT 3 Skill Tables'!N20=1),1,0),IF(PTKEY=5,IF(AND('PT 4 Skill Tables'!P20=1,'PT 4 Skill Tables'!N20=1),1,0),IF(PTKEY=6,IF(AND('PT 5 Skill Tables'!P20=1,'PT 5 Skill Tables'!N20=1),1,0),IF(PTKEY=7,IF(AND('PT 6 Skill Tables'!P20=1,'PT 6 Skill Tables'!N20=1),1,0),""))))))</f>
        <v>0</v>
      </c>
      <c r="AA19" s="136">
        <v>16</v>
      </c>
      <c r="AB19" s="93">
        <f>IF(PTKEY=2, IF(AND('PT 1 Skill Tables'!H20=1,'PT 1 Skill Tables'!E20=1), 1, 0), IF(PTKEY=3,IF(AND('PT 2 Skill Tables'!H20=1,'PT 2 Skill Tables'!E20=1), 1, 0),IF(PTKEY=4,IF(AND('PT 3 Skill Tables'!H20=1,'PT 3 Skill Tables'!E20=1), 1, 0), IF(PTKEY=5,IF(AND('PT 4 Skill Tables'!H20=1,'PT 4 Skill Tables'!E20=1), 1, 0),IF(PTKEY=6,IF(AND('PT 5 Skill Tables'!H20=1,'PT 5 Skill Tables'!E20=1),1,0),IF(PTKEY=7,IF(AND('PT 6 Skill Tables'!H20=1,'PT 6 Skill Tables'!E20=1),1,0),""))))))</f>
        <v>0</v>
      </c>
      <c r="AC19" s="93">
        <f>IF(PTKEY=2, IF(AND('PT 1 Skill Tables'!Q20=1,'PT 1 Skill Tables'!N20=1), 1, 0), IF(PTKEY=3,IF(AND('PT 2 Skill Tables'!Q20=1,'PT 2 Skill Tables'!N20=1), 1, 0),IF(PTKEY=4,IF(AND('PT 3 Skill Tables'!Q20=1,'PT 3 Skill Tables'!N20=1), 1, 0), IF(PTKEY=5,IF(AND('PT 4 Skill Tables'!Q20=1,'PT 4 Skill Tables'!N20=1), 1, 0),IF(PTKEY=6,IF(AND('PT 5 Skill Tables'!Q20=1,'PT 5 Skill Tables'!N20=1),1,0),IF(PTKEY=7,IF(AND('PT 6 Skill Tables'!Q20=1,'PT 6 Skill Tables'!N20=1),1,0),""))))))</f>
        <v>0</v>
      </c>
      <c r="AD19" s="93">
        <f>IF(PTKEY=2, IF(AND('PT 1 Skill Tables'!X20=1,'PT 1 Skill Tables'!W20=1), 1, 0), IF(PTKEY=3,IF(AND('PT 2 Skill Tables'!X20=1,'PT 2 Skill Tables'!W20=1), 1, 0),IF(PTKEY=4,IF(AND('PT 3 Skill Tables'!X20=1,'PT 3 Skill Tables'!W20=1), 1, 0),IF(PTKEY=5,IF(AND('PT 4 Skill Tables'!X20=1,'PT 4 Skill Tables'!W20=1), 1, 0),IF(PTKEY=6,IF(AND('PT 5 Skill Tables'!X20=1,'PT 5 Skill Tables'!W20=1),1,0), IF(PTKEY=7,IF(AND('PT 6 Skill Tables'!X20=1,'PT 6 Skill Tables'!W20=1),1,0),""))))))</f>
        <v>0</v>
      </c>
      <c r="AE19" s="93">
        <f>IF(PTKEY=2, IF(AND('PT 1 Skill Tables'!AE20=1,'PT 1 Skill Tables'!AD20=1), 1, 0), IF(PTKEY=3,IF(AND('PT 2 Skill Tables'!AE20=1,'PT 2 Skill Tables'!AD20=1), 1, 0),IF(PTKEY=4,IF(AND('PT 3 Skill Tables'!AE20=1,'PT 3 Skill Tables'!AD20=1), 1, 0),IF(PTKEY=5,IF(AND('PT 4 Skill Tables'!AE20=1,'PT 4 Skill Tables'!AD20=1), 1, 0),IF(PTKEY=6,IF(AND('PT 5 Skill Tables'!AE20=1,'PT 5 Skill Tables'!AD20=1),1,0),IF(PTKEY=7,IF(AND('PT 6 Skill Tables'!AE20=1,'PT 6 Skill Tables'!AD20=1),1,0),""))))))</f>
        <v>0</v>
      </c>
      <c r="AG19" s="93">
        <v>16</v>
      </c>
      <c r="AH19" s="93">
        <f>IF(PTKEY=2, IF(AND('PT 1 Skill Tables'!I20=1,'PT 1 Skill Tables'!E20=1), 1, 0), IF(PTKEY=3,IF(AND('PT 2 Skill Tables'!I20=1,'PT 2 Skill Tables'!E20=1), 1, 0), IF(PTKEY=4,IF(AND('PT 3 Skill Tables'!I20=1,'PT 3 Skill Tables'!E20=1), 1, 0),IF(PTKEY=5,IF(AND('PT 4 Skill Tables'!I20=1,'PT 4 Skill Tables'!E20=1), 1, 0),IF(PTKEY=6,IF(AND('PT 5 Skill Tables'!I20=1,'PT 5 Skill Tables'!E20=1),1,0),IF(PTKEY=7,IF(AND('PT 6 Skill Tables'!I20=1,'PT 6 Skill Tables'!E20=1),1,0),""))))))</f>
        <v>0</v>
      </c>
      <c r="AI19" s="93">
        <f>IF(PTKEY=2,IF(AND('PT 1 Skill Tables'!R20=1,'PT 1 Skill Tables'!N20=1),1,0),IF(PTKEY=3,IF(AND('PT 2 Skill Tables'!R20=1,'PT 2 Skill Tables'!N20=1),1,0),IF(PTKEY=4,IF(AND('PT 3 Skill Tables'!R20=1,'PT 3 Skill Tables'!N20=1),1,0),IF(PTKEY=5,IF(AND('PT 4 Skill Tables'!R20=1,'PT 4 Skill Tables'!N20=1),1,0),IF(PTKEY=6,IF(AND('PT 5 Skill Tables'!R20=1,'PT 5 Skill Tables'!N20=1),1,0),IF(PTKEY=7,IF(AND('PT 6 Skill Tables'!R20=1,'PT 6 Skill Tables'!N20=1),1,0),""))))))</f>
        <v>0</v>
      </c>
      <c r="AJ19" s="93">
        <f>IF(PTKEY=2,IF(AND('PT 1 Skill Tables'!Y20=1,'PT 1 Skill Tables'!W20=1),1,0),IF(PTKEY=3,IF(AND('PT 2 Skill Tables'!Y20=1,'PT 2 Skill Tables'!W20=1),1,0),IF(PTKEY=4,IF(AND('PT 3 Skill Tables'!Y20=1,'PT 3 Skill Tables'!W20=1),1,0),IF(PTKEY=5,IF(AND('PT 4 Skill Tables'!Y20=1,'PT 4 Skill Tables'!W20=1),1,0),IF(PTKEY=6,IF(AND('PT 5 Skill Tables'!Y20=1,'PT 5 Skill Tables'!W20=1),1,0),IF(PTKEY=7,IF(AND('PT 6 Skill Tables'!Y20=1,'PT 6 Skill Tables'!W20=1),1,0),""))))))</f>
        <v>0</v>
      </c>
      <c r="AK19" s="93">
        <f>IF(PTKEY=2,IF(AND('PT 1 Skill Tables'!AF20=1,'PT 1 Skill Tables'!AD20=1),1,0),IF(PTKEY=3,IF(AND('PT 2 Skill Tables'!AF20=1,'PT 2 Skill Tables'!AD20=1),1,0),IF(PTKEY=4,IF(AND('PT 3 Skill Tables'!AF20=1,'PT 3 Skill Tables'!AD20=1),1,0),IF(PTKEY=5,IF(AND('PT 4 Skill Tables'!AF20=1,'PT 4 Skill Tables'!AD20=1),1,0),IF(PTKEY=6,IF(AND('PT 5 Skill Tables'!AF20=1,'PT 5 Skill Tables'!AD20=1),1,0),IF(PTKEY=7,IF(AND('PT 6 Skill Tables'!AF20=1,'PT 6 Skill Tables'!AD20=1),1,0),""))))))</f>
        <v>0</v>
      </c>
    </row>
    <row r="20" spans="7:37">
      <c r="G20" s="160">
        <v>17</v>
      </c>
      <c r="H20" s="159">
        <f>IF(Input!C26=(VLOOKUP(Input!B26,Table2[#All],PTKEY,TRUE)), 1, 0)</f>
        <v>0</v>
      </c>
      <c r="J20" s="160">
        <v>17</v>
      </c>
      <c r="K20" s="159">
        <f>IF(Input!E26=(VLOOKUP(Input!D26,Table3[#All],PTKEY,TRUE)), 1, 0)</f>
        <v>0</v>
      </c>
      <c r="M20" s="160">
        <v>17</v>
      </c>
      <c r="N20" s="159">
        <f>IF(Input!G26=(VLOOKUP(Input!F26,Table7[#All],PTKEY,TRUE)), 1, 0)</f>
        <v>0</v>
      </c>
      <c r="P20" s="160">
        <v>17</v>
      </c>
      <c r="Q20" s="159">
        <f>IF(Input!I26=(VLOOKUP(Input!H26,Table5[#All],PTKEY,TRUE)), 1, 0)</f>
        <v>0</v>
      </c>
      <c r="S20" s="93">
        <v>17</v>
      </c>
      <c r="T20" s="93">
        <f>IF(PTKEY=2,IF(AND('PT 1 Skill Tables'!F21=1,'PT 1 Skill Tables'!E21=1),1,0),IF(PTKEY=3,IF(AND('PT 2 Skill Tables'!F21=1,'PT 2 Skill Tables'!E21=1),1,0),IF(PTKEY=4,IF(AND('PT 3 Skill Tables'!F21=1,'PT 3 Skill Tables'!E21=1),1,0),IF(PTKEY=5,IF(AND('PT 4 Skill Tables'!F21=1,'PT 4 Skill Tables'!E21=1),1,0),IF(PTKEY=6,IF(AND('PT 5 Skill Tables'!F21=1,'PT 5 Skill Tables'!E21=1),1,0),IF(PTKEY=7,IF(AND('PT 6 Skill Tables'!F21=1,'PT 6 Skill Tables'!E21=1),1,0),""))))))</f>
        <v>0</v>
      </c>
      <c r="U20" s="93">
        <f>IF(PTKEY=2,IF(AND('PT 1 Skill Tables'!O21=1,'PT 1 Skill Tables'!N21=1),1,0),IF(PTKEY=3,IF(AND('PT 2 Skill Tables'!O21=1,'PT 2 Skill Tables'!N21=1),1,0),IF(PTKEY=4,IF(AND('PT 3 Skill Tables'!O21=1,'PT 3 Skill Tables'!N21=1),1,0),IF(PTKEY=5,IF(AND('PT 4 Skill Tables'!O21=1,'PT 4 Skill Tables'!N21=1),1,0),IF(PTKEY=6,IF(AND('PT 5 Skill Tables'!O21=1,'PT 5 Skill Tables'!N21=1),1,0),IF(PTKEY=7,IF(AND('PT 6 Skill Tables'!O21=1,'PT 6 Skill Tables'!N21=1),1,0),""))))))</f>
        <v>0</v>
      </c>
      <c r="W20" s="93">
        <v>17</v>
      </c>
      <c r="X20" s="93">
        <f>IF(PTKEY=2,IF(AND('PT 1 Skill Tables'!G21=1,'PT 1 Skill Tables'!E21=1),1,0),IF(PTKEY=3,IF(AND('PT 2 Skill Tables'!G21=1,'PT 2 Skill Tables'!E21=1),1,0),IF(PTKEY=4,IF(AND('PT 3 Skill Tables'!G21=1,'PT 3 Skill Tables'!E21=1),1,0),IF(PTKEY=5,IF(AND('PT 4 Skill Tables'!G21=1,'PT 4 Skill Tables'!E21=1),1,0),IF(PTKEY=6,IF(AND('PT 5 Skill Tables'!G21=1,'PT 5 Skill Tables'!E21=1),1,0),IF(PTKEY=7,IF(AND('PT 6 Skill Tables'!G21=1,'PT 6 Skill Tables'!E21=1),1,0),""))))))</f>
        <v>0</v>
      </c>
      <c r="Y20" s="93">
        <f>IF(PTKEY=2,IF(AND('PT 1 Skill Tables'!P21=1,'PT 1 Skill Tables'!N21=1),1,0),IF(PTKEY=3,IF(AND('PT 2 Skill Tables'!P21=1,'PT 2 Skill Tables'!N21=1),1,0),IF(PTKEY=4,IF(AND('PT 3 Skill Tables'!P21=1,'PT 3 Skill Tables'!N21=1),1,0),IF(PTKEY=5,IF(AND('PT 4 Skill Tables'!P21=1,'PT 4 Skill Tables'!N21=1),1,0),IF(PTKEY=6,IF(AND('PT 5 Skill Tables'!P21=1,'PT 5 Skill Tables'!N21=1),1,0),IF(PTKEY=7,IF(AND('PT 6 Skill Tables'!P21=1,'PT 6 Skill Tables'!N21=1),1,0),""))))))</f>
        <v>0</v>
      </c>
      <c r="AA20" s="135">
        <v>17</v>
      </c>
      <c r="AB20" s="93">
        <f>IF(PTKEY=2, IF(AND('PT 1 Skill Tables'!H21=1,'PT 1 Skill Tables'!E21=1), 1, 0), IF(PTKEY=3,IF(AND('PT 2 Skill Tables'!H21=1,'PT 2 Skill Tables'!E21=1), 1, 0),IF(PTKEY=4,IF(AND('PT 3 Skill Tables'!H21=1,'PT 3 Skill Tables'!E21=1), 1, 0), IF(PTKEY=5,IF(AND('PT 4 Skill Tables'!H21=1,'PT 4 Skill Tables'!E21=1), 1, 0),IF(PTKEY=6,IF(AND('PT 5 Skill Tables'!H21=1,'PT 5 Skill Tables'!E21=1),1,0),IF(PTKEY=7,IF(AND('PT 6 Skill Tables'!H21=1,'PT 6 Skill Tables'!E21=1),1,0),""))))))</f>
        <v>0</v>
      </c>
      <c r="AC20" s="93">
        <f>IF(PTKEY=2, IF(AND('PT 1 Skill Tables'!Q21=1,'PT 1 Skill Tables'!N21=1), 1, 0), IF(PTKEY=3,IF(AND('PT 2 Skill Tables'!Q21=1,'PT 2 Skill Tables'!N21=1), 1, 0),IF(PTKEY=4,IF(AND('PT 3 Skill Tables'!Q21=1,'PT 3 Skill Tables'!N21=1), 1, 0), IF(PTKEY=5,IF(AND('PT 4 Skill Tables'!Q21=1,'PT 4 Skill Tables'!N21=1), 1, 0),IF(PTKEY=6,IF(AND('PT 5 Skill Tables'!Q21=1,'PT 5 Skill Tables'!N21=1),1,0),IF(PTKEY=7,IF(AND('PT 6 Skill Tables'!Q21=1,'PT 6 Skill Tables'!N21=1),1,0),""))))))</f>
        <v>0</v>
      </c>
      <c r="AD20" s="93">
        <f>IF(PTKEY=2, IF(AND('PT 1 Skill Tables'!X21=1,'PT 1 Skill Tables'!W21=1), 1, 0), IF(PTKEY=3,IF(AND('PT 2 Skill Tables'!X21=1,'PT 2 Skill Tables'!W21=1), 1, 0),IF(PTKEY=4,IF(AND('PT 3 Skill Tables'!X21=1,'PT 3 Skill Tables'!W21=1), 1, 0),IF(PTKEY=5,IF(AND('PT 4 Skill Tables'!X21=1,'PT 4 Skill Tables'!W21=1), 1, 0),IF(PTKEY=6,IF(AND('PT 5 Skill Tables'!X21=1,'PT 5 Skill Tables'!W21=1),1,0), IF(PTKEY=7,IF(AND('PT 6 Skill Tables'!X21=1,'PT 6 Skill Tables'!W21=1),1,0),""))))))</f>
        <v>0</v>
      </c>
      <c r="AE20" s="93">
        <f>IF(PTKEY=2, IF(AND('PT 1 Skill Tables'!AE21=1,'PT 1 Skill Tables'!AD21=1), 1, 0), IF(PTKEY=3,IF(AND('PT 2 Skill Tables'!AE21=1,'PT 2 Skill Tables'!AD21=1), 1, 0),IF(PTKEY=4,IF(AND('PT 3 Skill Tables'!AE21=1,'PT 3 Skill Tables'!AD21=1), 1, 0),IF(PTKEY=5,IF(AND('PT 4 Skill Tables'!AE21=1,'PT 4 Skill Tables'!AD21=1), 1, 0),IF(PTKEY=6,IF(AND('PT 5 Skill Tables'!AE21=1,'PT 5 Skill Tables'!AD21=1),1,0),IF(PTKEY=7,IF(AND('PT 6 Skill Tables'!AE21=1,'PT 6 Skill Tables'!AD21=1),1,0),""))))))</f>
        <v>0</v>
      </c>
      <c r="AG20" s="93">
        <v>17</v>
      </c>
      <c r="AH20" s="93">
        <f>IF(PTKEY=2, IF(AND('PT 1 Skill Tables'!I21=1,'PT 1 Skill Tables'!E21=1), 1, 0), IF(PTKEY=3,IF(AND('PT 2 Skill Tables'!I21=1,'PT 2 Skill Tables'!E21=1), 1, 0), IF(PTKEY=4,IF(AND('PT 3 Skill Tables'!I21=1,'PT 3 Skill Tables'!E21=1), 1, 0),IF(PTKEY=5,IF(AND('PT 4 Skill Tables'!I21=1,'PT 4 Skill Tables'!E21=1), 1, 0),IF(PTKEY=6,IF(AND('PT 5 Skill Tables'!I21=1,'PT 5 Skill Tables'!E21=1),1,0),IF(PTKEY=7,IF(AND('PT 6 Skill Tables'!I21=1,'PT 6 Skill Tables'!E21=1),1,0),""))))))</f>
        <v>0</v>
      </c>
      <c r="AI20" s="93">
        <f>IF(PTKEY=2,IF(AND('PT 1 Skill Tables'!R21=1,'PT 1 Skill Tables'!N21=1),1,0),IF(PTKEY=3,IF(AND('PT 2 Skill Tables'!R21=1,'PT 2 Skill Tables'!N21=1),1,0),IF(PTKEY=4,IF(AND('PT 3 Skill Tables'!R21=1,'PT 3 Skill Tables'!N21=1),1,0),IF(PTKEY=5,IF(AND('PT 4 Skill Tables'!R21=1,'PT 4 Skill Tables'!N21=1),1,0),IF(PTKEY=6,IF(AND('PT 5 Skill Tables'!R21=1,'PT 5 Skill Tables'!N21=1),1,0),IF(PTKEY=7,IF(AND('PT 6 Skill Tables'!R21=1,'PT 6 Skill Tables'!N21=1),1,0),""))))))</f>
        <v>0</v>
      </c>
      <c r="AJ20" s="93">
        <f>IF(PTKEY=2,IF(AND('PT 1 Skill Tables'!Y21=1,'PT 1 Skill Tables'!W21=1),1,0),IF(PTKEY=3,IF(AND('PT 2 Skill Tables'!Y21=1,'PT 2 Skill Tables'!W21=1),1,0),IF(PTKEY=4,IF(AND('PT 3 Skill Tables'!Y21=1,'PT 3 Skill Tables'!W21=1),1,0),IF(PTKEY=5,IF(AND('PT 4 Skill Tables'!Y21=1,'PT 4 Skill Tables'!W21=1),1,0),IF(PTKEY=6,IF(AND('PT 5 Skill Tables'!Y21=1,'PT 5 Skill Tables'!W21=1),1,0),IF(PTKEY=7,IF(AND('PT 6 Skill Tables'!Y21=1,'PT 6 Skill Tables'!W21=1),1,0),""))))))</f>
        <v>0</v>
      </c>
      <c r="AK20" s="93">
        <f>IF(PTKEY=2,IF(AND('PT 1 Skill Tables'!AF21=1,'PT 1 Skill Tables'!AD21=1),1,0),IF(PTKEY=3,IF(AND('PT 2 Skill Tables'!AF21=1,'PT 2 Skill Tables'!AD21=1),1,0),IF(PTKEY=4,IF(AND('PT 3 Skill Tables'!AF21=1,'PT 3 Skill Tables'!AD21=1),1,0),IF(PTKEY=5,IF(AND('PT 4 Skill Tables'!AF21=1,'PT 4 Skill Tables'!AD21=1),1,0),IF(PTKEY=6,IF(AND('PT 5 Skill Tables'!AF21=1,'PT 5 Skill Tables'!AD21=1),1,0),IF(PTKEY=7,IF(AND('PT 6 Skill Tables'!AF21=1,'PT 6 Skill Tables'!AD21=1),1,0),""))))))</f>
        <v>0</v>
      </c>
    </row>
    <row r="21" spans="7:37">
      <c r="G21" s="158">
        <v>18</v>
      </c>
      <c r="H21" s="159">
        <f>IF(Input!C27=(VLOOKUP(Input!B27,Table2[#All],PTKEY,TRUE)), 1, 0)</f>
        <v>0</v>
      </c>
      <c r="J21" s="158">
        <v>18</v>
      </c>
      <c r="K21" s="159">
        <f>IF(Input!E27=(VLOOKUP(Input!D27,Table3[#All],PTKEY,TRUE)), 1, 0)</f>
        <v>0</v>
      </c>
      <c r="M21" s="158">
        <v>18</v>
      </c>
      <c r="N21" s="159">
        <f>IF(Input!G27=(VLOOKUP(Input!F27,Table7[#All],PTKEY,TRUE)), 1, 0)</f>
        <v>0</v>
      </c>
      <c r="P21" s="158">
        <v>18</v>
      </c>
      <c r="Q21" s="159">
        <f>IF(Input!I27=(VLOOKUP(Input!H27,Table5[#All],PTKEY,TRUE)), 1, 0)</f>
        <v>0</v>
      </c>
      <c r="S21" s="93">
        <v>18</v>
      </c>
      <c r="T21" s="93">
        <f>IF(PTKEY=2,IF(AND('PT 1 Skill Tables'!F22=1,'PT 1 Skill Tables'!E22=1),1,0),IF(PTKEY=3,IF(AND('PT 2 Skill Tables'!F22=1,'PT 2 Skill Tables'!E22=1),1,0),IF(PTKEY=4,IF(AND('PT 3 Skill Tables'!F22=1,'PT 3 Skill Tables'!E22=1),1,0),IF(PTKEY=5,IF(AND('PT 4 Skill Tables'!F22=1,'PT 4 Skill Tables'!E22=1),1,0),IF(PTKEY=6,IF(AND('PT 5 Skill Tables'!F22=1,'PT 5 Skill Tables'!E22=1),1,0),IF(PTKEY=7,IF(AND('PT 6 Skill Tables'!F22=1,'PT 6 Skill Tables'!E22=1),1,0),""))))))</f>
        <v>0</v>
      </c>
      <c r="U21" s="93">
        <f>IF(PTKEY=2,IF(AND('PT 1 Skill Tables'!O22=1,'PT 1 Skill Tables'!N22=1),1,0),IF(PTKEY=3,IF(AND('PT 2 Skill Tables'!O22=1,'PT 2 Skill Tables'!N22=1),1,0),IF(PTKEY=4,IF(AND('PT 3 Skill Tables'!O22=1,'PT 3 Skill Tables'!N22=1),1,0),IF(PTKEY=5,IF(AND('PT 4 Skill Tables'!O22=1,'PT 4 Skill Tables'!N22=1),1,0),IF(PTKEY=6,IF(AND('PT 5 Skill Tables'!O22=1,'PT 5 Skill Tables'!N22=1),1,0),IF(PTKEY=7,IF(AND('PT 6 Skill Tables'!O22=1,'PT 6 Skill Tables'!N22=1),1,0),""))))))</f>
        <v>0</v>
      </c>
      <c r="W21" s="93">
        <v>18</v>
      </c>
      <c r="X21" s="93">
        <f>IF(PTKEY=2,IF(AND('PT 1 Skill Tables'!G22=1,'PT 1 Skill Tables'!E22=1),1,0),IF(PTKEY=3,IF(AND('PT 2 Skill Tables'!G22=1,'PT 2 Skill Tables'!E22=1),1,0),IF(PTKEY=4,IF(AND('PT 3 Skill Tables'!G22=1,'PT 3 Skill Tables'!E22=1),1,0),IF(PTKEY=5,IF(AND('PT 4 Skill Tables'!G22=1,'PT 4 Skill Tables'!E22=1),1,0),IF(PTKEY=6,IF(AND('PT 5 Skill Tables'!G22=1,'PT 5 Skill Tables'!E22=1),1,0),IF(PTKEY=7,IF(AND('PT 6 Skill Tables'!G22=1,'PT 6 Skill Tables'!E22=1),1,0),""))))))</f>
        <v>0</v>
      </c>
      <c r="Y21" s="93">
        <f>IF(PTKEY=2,IF(AND('PT 1 Skill Tables'!P22=1,'PT 1 Skill Tables'!N22=1),1,0),IF(PTKEY=3,IF(AND('PT 2 Skill Tables'!P22=1,'PT 2 Skill Tables'!N22=1),1,0),IF(PTKEY=4,IF(AND('PT 3 Skill Tables'!P22=1,'PT 3 Skill Tables'!N22=1),1,0),IF(PTKEY=5,IF(AND('PT 4 Skill Tables'!P22=1,'PT 4 Skill Tables'!N22=1),1,0),IF(PTKEY=6,IF(AND('PT 5 Skill Tables'!P22=1,'PT 5 Skill Tables'!N22=1),1,0),IF(PTKEY=7,IF(AND('PT 6 Skill Tables'!P22=1,'PT 6 Skill Tables'!N22=1),1,0),""))))))</f>
        <v>0</v>
      </c>
      <c r="AA21" s="136">
        <v>18</v>
      </c>
      <c r="AB21" s="93">
        <f>IF(PTKEY=2, IF(AND('PT 1 Skill Tables'!H22=1,'PT 1 Skill Tables'!E22=1), 1, 0), IF(PTKEY=3,IF(AND('PT 2 Skill Tables'!H22=1,'PT 2 Skill Tables'!E22=1), 1, 0),IF(PTKEY=4,IF(AND('PT 3 Skill Tables'!H22=1,'PT 3 Skill Tables'!E22=1), 1, 0), IF(PTKEY=5,IF(AND('PT 4 Skill Tables'!H22=1,'PT 4 Skill Tables'!E22=1), 1, 0),IF(PTKEY=6,IF(AND('PT 5 Skill Tables'!H22=1,'PT 5 Skill Tables'!E22=1),1,0),IF(PTKEY=7,IF(AND('PT 6 Skill Tables'!H22=1,'PT 6 Skill Tables'!E22=1),1,0),""))))))</f>
        <v>0</v>
      </c>
      <c r="AC21" s="93">
        <f>IF(PTKEY=2, IF(AND('PT 1 Skill Tables'!Q22=1,'PT 1 Skill Tables'!N22=1), 1, 0), IF(PTKEY=3,IF(AND('PT 2 Skill Tables'!Q22=1,'PT 2 Skill Tables'!N22=1), 1, 0),IF(PTKEY=4,IF(AND('PT 3 Skill Tables'!Q22=1,'PT 3 Skill Tables'!N22=1), 1, 0), IF(PTKEY=5,IF(AND('PT 4 Skill Tables'!Q22=1,'PT 4 Skill Tables'!N22=1), 1, 0),IF(PTKEY=6,IF(AND('PT 5 Skill Tables'!Q22=1,'PT 5 Skill Tables'!N22=1),1,0),IF(PTKEY=7,IF(AND('PT 6 Skill Tables'!Q22=1,'PT 6 Skill Tables'!N22=1),1,0),""))))))</f>
        <v>0</v>
      </c>
      <c r="AD21" s="93">
        <f>IF(PTKEY=2, IF(AND('PT 1 Skill Tables'!X22=1,'PT 1 Skill Tables'!W22=1), 1, 0), IF(PTKEY=3,IF(AND('PT 2 Skill Tables'!X22=1,'PT 2 Skill Tables'!W22=1), 1, 0),IF(PTKEY=4,IF(AND('PT 3 Skill Tables'!X22=1,'PT 3 Skill Tables'!W22=1), 1, 0),IF(PTKEY=5,IF(AND('PT 4 Skill Tables'!X22=1,'PT 4 Skill Tables'!W22=1), 1, 0),IF(PTKEY=6,IF(AND('PT 5 Skill Tables'!X22=1,'PT 5 Skill Tables'!W22=1),1,0), IF(PTKEY=7,IF(AND('PT 6 Skill Tables'!X22=1,'PT 6 Skill Tables'!W22=1),1,0),""))))))</f>
        <v>0</v>
      </c>
      <c r="AE21" s="93">
        <f>IF(PTKEY=2, IF(AND('PT 1 Skill Tables'!AE22=1,'PT 1 Skill Tables'!AD22=1), 1, 0), IF(PTKEY=3,IF(AND('PT 2 Skill Tables'!AE22=1,'PT 2 Skill Tables'!AD22=1), 1, 0),IF(PTKEY=4,IF(AND('PT 3 Skill Tables'!AE22=1,'PT 3 Skill Tables'!AD22=1), 1, 0),IF(PTKEY=5,IF(AND('PT 4 Skill Tables'!AE22=1,'PT 4 Skill Tables'!AD22=1), 1, 0),IF(PTKEY=6,IF(AND('PT 5 Skill Tables'!AE22=1,'PT 5 Skill Tables'!AD22=1),1,0),IF(PTKEY=7,IF(AND('PT 6 Skill Tables'!AE22=1,'PT 6 Skill Tables'!AD22=1),1,0),""))))))</f>
        <v>0</v>
      </c>
      <c r="AG21" s="93">
        <v>18</v>
      </c>
      <c r="AH21" s="93">
        <f>IF(PTKEY=2, IF(AND('PT 1 Skill Tables'!I22=1,'PT 1 Skill Tables'!E22=1), 1, 0), IF(PTKEY=3,IF(AND('PT 2 Skill Tables'!I22=1,'PT 2 Skill Tables'!E22=1), 1, 0), IF(PTKEY=4,IF(AND('PT 3 Skill Tables'!I22=1,'PT 3 Skill Tables'!E22=1), 1, 0),IF(PTKEY=5,IF(AND('PT 4 Skill Tables'!I22=1,'PT 4 Skill Tables'!E22=1), 1, 0),IF(PTKEY=6,IF(AND('PT 5 Skill Tables'!I22=1,'PT 5 Skill Tables'!E22=1),1,0),IF(PTKEY=7,IF(AND('PT 6 Skill Tables'!I22=1,'PT 6 Skill Tables'!E22=1),1,0),""))))))</f>
        <v>0</v>
      </c>
      <c r="AI21" s="93">
        <f>IF(PTKEY=2,IF(AND('PT 1 Skill Tables'!R22=1,'PT 1 Skill Tables'!N22=1),1,0),IF(PTKEY=3,IF(AND('PT 2 Skill Tables'!R22=1,'PT 2 Skill Tables'!N22=1),1,0),IF(PTKEY=4,IF(AND('PT 3 Skill Tables'!R22=1,'PT 3 Skill Tables'!N22=1),1,0),IF(PTKEY=5,IF(AND('PT 4 Skill Tables'!R22=1,'PT 4 Skill Tables'!N22=1),1,0),IF(PTKEY=6,IF(AND('PT 5 Skill Tables'!R22=1,'PT 5 Skill Tables'!N22=1),1,0),IF(PTKEY=7,IF(AND('PT 6 Skill Tables'!R22=1,'PT 6 Skill Tables'!N22=1),1,0),""))))))</f>
        <v>0</v>
      </c>
      <c r="AJ21" s="93">
        <f>IF(PTKEY=2,IF(AND('PT 1 Skill Tables'!Y22=1,'PT 1 Skill Tables'!W22=1),1,0),IF(PTKEY=3,IF(AND('PT 2 Skill Tables'!Y22=1,'PT 2 Skill Tables'!W22=1),1,0),IF(PTKEY=4,IF(AND('PT 3 Skill Tables'!Y22=1,'PT 3 Skill Tables'!W22=1),1,0),IF(PTKEY=5,IF(AND('PT 4 Skill Tables'!Y22=1,'PT 4 Skill Tables'!W22=1),1,0),IF(PTKEY=6,IF(AND('PT 5 Skill Tables'!Y22=1,'PT 5 Skill Tables'!W22=1),1,0),IF(PTKEY=7,IF(AND('PT 6 Skill Tables'!Y22=1,'PT 6 Skill Tables'!W22=1),1,0),""))))))</f>
        <v>0</v>
      </c>
      <c r="AK21" s="93">
        <f>IF(PTKEY=2,IF(AND('PT 1 Skill Tables'!AF22=1,'PT 1 Skill Tables'!AD22=1),1,0),IF(PTKEY=3,IF(AND('PT 2 Skill Tables'!AF22=1,'PT 2 Skill Tables'!AD22=1),1,0),IF(PTKEY=4,IF(AND('PT 3 Skill Tables'!AF22=1,'PT 3 Skill Tables'!AD22=1),1,0),IF(PTKEY=5,IF(AND('PT 4 Skill Tables'!AF22=1,'PT 4 Skill Tables'!AD22=1),1,0),IF(PTKEY=6,IF(AND('PT 5 Skill Tables'!AF22=1,'PT 5 Skill Tables'!AD22=1),1,0),IF(PTKEY=7,IF(AND('PT 6 Skill Tables'!AF22=1,'PT 6 Skill Tables'!AD22=1),1,0),""))))))</f>
        <v>0</v>
      </c>
    </row>
    <row r="22" spans="7:37">
      <c r="G22" s="160">
        <v>19</v>
      </c>
      <c r="H22" s="159">
        <f>IF(Input!C28=(VLOOKUP(Input!B28,Table2[#All],PTKEY,TRUE)), 1, 0)</f>
        <v>0</v>
      </c>
      <c r="J22" s="160">
        <v>19</v>
      </c>
      <c r="K22" s="159">
        <f>IF(Input!E28=(VLOOKUP(Input!D28,Table3[#All],PTKEY,TRUE)), 1, 0)</f>
        <v>0</v>
      </c>
      <c r="M22" s="160">
        <v>19</v>
      </c>
      <c r="N22" s="159">
        <f>IF(PTDropdown="PT 1", IF(OR(Input!G28=4/5,Input!G28=0.8), 1,0),IF(Input!G28=(VLOOKUP(Input!F28,Table7[#All],PTKEY,TRUE)), 1, 0))</f>
        <v>0</v>
      </c>
      <c r="P22" s="160">
        <v>19</v>
      </c>
      <c r="Q22" s="159">
        <f>IF(Input!I28=(VLOOKUP(Input!H28,Table5[#All],PTKEY,TRUE)), 1, 0)</f>
        <v>0</v>
      </c>
      <c r="S22" s="93">
        <v>19</v>
      </c>
      <c r="T22" s="93">
        <f>IF(PTKEY=2,IF(AND('PT 1 Skill Tables'!F23=1,'PT 1 Skill Tables'!E23=1),1,0),IF(PTKEY=3,IF(AND('PT 2 Skill Tables'!F23=1,'PT 2 Skill Tables'!E23=1),1,0),IF(PTKEY=4,IF(AND('PT 3 Skill Tables'!F23=1,'PT 3 Skill Tables'!E23=1),1,0),IF(PTKEY=5,IF(AND('PT 4 Skill Tables'!F23=1,'PT 4 Skill Tables'!E23=1),1,0),IF(PTKEY=6,IF(AND('PT 5 Skill Tables'!F23=1,'PT 5 Skill Tables'!E23=1),1,0),IF(PTKEY=7,IF(AND('PT 6 Skill Tables'!F23=1,'PT 6 Skill Tables'!E23=1),1,0),""))))))</f>
        <v>0</v>
      </c>
      <c r="U22" s="93">
        <f>IF(PTKEY=2,IF(AND('PT 1 Skill Tables'!O23=1,'PT 1 Skill Tables'!N23=1),1,0),IF(PTKEY=3,IF(AND('PT 2 Skill Tables'!O23=1,'PT 2 Skill Tables'!N23=1),1,0),IF(PTKEY=4,IF(AND('PT 3 Skill Tables'!O23=1,'PT 3 Skill Tables'!N23=1),1,0),IF(PTKEY=5,IF(AND('PT 4 Skill Tables'!O23=1,'PT 4 Skill Tables'!N23=1),1,0),IF(PTKEY=6,IF(AND('PT 5 Skill Tables'!O23=1,'PT 5 Skill Tables'!N23=1),1,0),IF(PTKEY=7,IF(AND('PT 6 Skill Tables'!O23=1,'PT 6 Skill Tables'!N23=1),1,0),""))))))</f>
        <v>0</v>
      </c>
      <c r="W22" s="93">
        <v>19</v>
      </c>
      <c r="X22" s="93">
        <f>IF(PTKEY=2,IF(AND('PT 1 Skill Tables'!G23=1,'PT 1 Skill Tables'!E23=1),1,0),IF(PTKEY=3,IF(AND('PT 2 Skill Tables'!G23=1,'PT 2 Skill Tables'!E23=1),1,0),IF(PTKEY=4,IF(AND('PT 3 Skill Tables'!G23=1,'PT 3 Skill Tables'!E23=1),1,0),IF(PTKEY=5,IF(AND('PT 4 Skill Tables'!G23=1,'PT 4 Skill Tables'!E23=1),1,0),IF(PTKEY=6,IF(AND('PT 5 Skill Tables'!G23=1,'PT 5 Skill Tables'!E23=1),1,0),IF(PTKEY=7,IF(AND('PT 6 Skill Tables'!G23=1,'PT 6 Skill Tables'!E23=1),1,0),""))))))</f>
        <v>0</v>
      </c>
      <c r="Y22" s="93">
        <f>IF(PTKEY=2,IF(AND('PT 1 Skill Tables'!P23=1,'PT 1 Skill Tables'!N23=1),1,0),IF(PTKEY=3,IF(AND('PT 2 Skill Tables'!P23=1,'PT 2 Skill Tables'!N23=1),1,0),IF(PTKEY=4,IF(AND('PT 3 Skill Tables'!P23=1,'PT 3 Skill Tables'!N23=1),1,0),IF(PTKEY=5,IF(AND('PT 4 Skill Tables'!P23=1,'PT 4 Skill Tables'!N23=1),1,0),IF(PTKEY=6,IF(AND('PT 5 Skill Tables'!P23=1,'PT 5 Skill Tables'!N23=1),1,0),IF(PTKEY=7,IF(AND('PT 6 Skill Tables'!P23=1,'PT 6 Skill Tables'!N23=1),1,0),""))))))</f>
        <v>0</v>
      </c>
      <c r="AA22" s="135">
        <v>19</v>
      </c>
      <c r="AB22" s="93">
        <f>IF(PTKEY=2, IF(AND('PT 1 Skill Tables'!H23=1,'PT 1 Skill Tables'!E23=1), 1, 0), IF(PTKEY=3,IF(AND('PT 2 Skill Tables'!H23=1,'PT 2 Skill Tables'!E23=1), 1, 0),IF(PTKEY=4,IF(AND('PT 3 Skill Tables'!H23=1,'PT 3 Skill Tables'!E23=1), 1, 0), IF(PTKEY=5,IF(AND('PT 4 Skill Tables'!H23=1,'PT 4 Skill Tables'!E23=1), 1, 0),IF(PTKEY=6,IF(AND('PT 5 Skill Tables'!H23=1,'PT 5 Skill Tables'!E23=1),1,0),IF(PTKEY=7,IF(AND('PT 6 Skill Tables'!H23=1,'PT 6 Skill Tables'!E23=1),1,0),""))))))</f>
        <v>0</v>
      </c>
      <c r="AC22" s="93">
        <f>IF(PTKEY=2, IF(AND('PT 1 Skill Tables'!Q23=1,'PT 1 Skill Tables'!N23=1), 1, 0), IF(PTKEY=3,IF(AND('PT 2 Skill Tables'!Q23=1,'PT 2 Skill Tables'!N23=1), 1, 0),IF(PTKEY=4,IF(AND('PT 3 Skill Tables'!Q23=1,'PT 3 Skill Tables'!N23=1), 1, 0), IF(PTKEY=5,IF(AND('PT 4 Skill Tables'!Q23=1,'PT 4 Skill Tables'!N23=1), 1, 0),IF(PTKEY=6,IF(AND('PT 5 Skill Tables'!Q23=1,'PT 5 Skill Tables'!N23=1),1,0),IF(PTKEY=7,IF(AND('PT 6 Skill Tables'!Q23=1,'PT 6 Skill Tables'!N23=1),1,0),""))))))</f>
        <v>0</v>
      </c>
      <c r="AD22" s="93">
        <f>IF(PTKEY=2, IF(AND('PT 1 Skill Tables'!X23=1,'PT 1 Skill Tables'!W23=1), 1, 0), IF(PTKEY=3,IF(AND('PT 2 Skill Tables'!X23=1,'PT 2 Skill Tables'!W23=1), 1, 0),IF(PTKEY=4,IF(AND('PT 3 Skill Tables'!X23=1,'PT 3 Skill Tables'!W23=1), 1, 0),IF(PTKEY=5,IF(AND('PT 4 Skill Tables'!X23=1,'PT 4 Skill Tables'!W23=1), 1, 0),IF(PTKEY=6,IF(AND('PT 5 Skill Tables'!X23=1,'PT 5 Skill Tables'!W23=1),1,0), IF(PTKEY=7,IF(AND('PT 6 Skill Tables'!X23=1,'PT 6 Skill Tables'!W23=1),1,0),""))))))</f>
        <v>0</v>
      </c>
      <c r="AE22" s="93">
        <f>IF(PTKEY=2, IF(AND('PT 1 Skill Tables'!AE23=1,'PT 1 Skill Tables'!AD23=1), 1, 0), IF(PTKEY=3,IF(AND('PT 2 Skill Tables'!AE23=1,'PT 2 Skill Tables'!AD23=1), 1, 0),IF(PTKEY=4,IF(AND('PT 3 Skill Tables'!AE23=1,'PT 3 Skill Tables'!AD23=1), 1, 0),IF(PTKEY=5,IF(AND('PT 4 Skill Tables'!AE23=1,'PT 4 Skill Tables'!AD23=1), 1, 0),IF(PTKEY=6,IF(AND('PT 5 Skill Tables'!AE23=1,'PT 5 Skill Tables'!AD23=1),1,0),IF(PTKEY=7,IF(AND('PT 6 Skill Tables'!AE23=1,'PT 6 Skill Tables'!AD23=1),1,0),""))))))</f>
        <v>0</v>
      </c>
      <c r="AG22" s="93">
        <v>19</v>
      </c>
      <c r="AH22" s="93">
        <f>IF(PTKEY=2, IF(AND('PT 1 Skill Tables'!I23=1,'PT 1 Skill Tables'!E23=1), 1, 0), IF(PTKEY=3,IF(AND('PT 2 Skill Tables'!I23=1,'PT 2 Skill Tables'!E23=1), 1, 0), IF(PTKEY=4,IF(AND('PT 3 Skill Tables'!I23=1,'PT 3 Skill Tables'!E23=1), 1, 0),IF(PTKEY=5,IF(AND('PT 4 Skill Tables'!I23=1,'PT 4 Skill Tables'!E23=1), 1, 0),IF(PTKEY=6,IF(AND('PT 5 Skill Tables'!I23=1,'PT 5 Skill Tables'!E23=1),1,0),IF(PTKEY=7,IF(AND('PT 6 Skill Tables'!I23=1,'PT 6 Skill Tables'!E23=1),1,0),""))))))</f>
        <v>0</v>
      </c>
      <c r="AI22" s="93">
        <f>IF(PTKEY=2,IF(AND('PT 1 Skill Tables'!R23=1,'PT 1 Skill Tables'!N23=1),1,0),IF(PTKEY=3,IF(AND('PT 2 Skill Tables'!R23=1,'PT 2 Skill Tables'!N23=1),1,0),IF(PTKEY=4,IF(AND('PT 3 Skill Tables'!R23=1,'PT 3 Skill Tables'!N23=1),1,0),IF(PTKEY=5,IF(AND('PT 4 Skill Tables'!R23=1,'PT 4 Skill Tables'!N23=1),1,0),IF(PTKEY=6,IF(AND('PT 5 Skill Tables'!R23=1,'PT 5 Skill Tables'!N23=1),1,0),IF(PTKEY=7,IF(AND('PT 6 Skill Tables'!R23=1,'PT 6 Skill Tables'!N23=1),1,0),""))))))</f>
        <v>0</v>
      </c>
      <c r="AJ22" s="93">
        <f>IF(PTKEY=2,IF(AND('PT 1 Skill Tables'!Y23=1,'PT 1 Skill Tables'!W23=1),1,0),IF(PTKEY=3,IF(AND('PT 2 Skill Tables'!Y23=1,'PT 2 Skill Tables'!W23=1),1,0),IF(PTKEY=4,IF(AND('PT 3 Skill Tables'!Y23=1,'PT 3 Skill Tables'!W23=1),1,0),IF(PTKEY=5,IF(AND('PT 4 Skill Tables'!Y23=1,'PT 4 Skill Tables'!W23=1),1,0),IF(PTKEY=6,IF(AND('PT 5 Skill Tables'!Y23=1,'PT 5 Skill Tables'!W23=1),1,0),IF(PTKEY=7,IF(AND('PT 6 Skill Tables'!Y23=1,'PT 6 Skill Tables'!W23=1),1,0),""))))))</f>
        <v>0</v>
      </c>
      <c r="AK22" s="93">
        <f>IF(PTKEY=2,IF(AND('PT 1 Skill Tables'!AF23=1,'PT 1 Skill Tables'!AD23=1),1,0),IF(PTKEY=3,IF(AND('PT 2 Skill Tables'!AF23=1,'PT 2 Skill Tables'!AD23=1),1,0),IF(PTKEY=4,IF(AND('PT 3 Skill Tables'!AF23=1,'PT 3 Skill Tables'!AD23=1),1,0),IF(PTKEY=5,IF(AND('PT 4 Skill Tables'!AF23=1,'PT 4 Skill Tables'!AD23=1),1,0),IF(PTKEY=6,IF(AND('PT 5 Skill Tables'!AF23=1,'PT 5 Skill Tables'!AD23=1),1,0),IF(PTKEY=7,IF(AND('PT 6 Skill Tables'!AF23=1,'PT 6 Skill Tables'!AD23=1),1,0),""))))))</f>
        <v>0</v>
      </c>
    </row>
    <row r="23" spans="7:37" ht="15.75" thickBot="1">
      <c r="G23" s="158">
        <v>20</v>
      </c>
      <c r="H23" s="159">
        <f>IF(Input!C29=(VLOOKUP(Input!B29,Table2[#All],PTKEY,TRUE)), 1, 0)</f>
        <v>0</v>
      </c>
      <c r="J23" s="158">
        <v>20</v>
      </c>
      <c r="K23" s="159">
        <f>IF(Input!E29=(VLOOKUP(Input!D29,Table3[#All],PTKEY,TRUE)), 1, 0)</f>
        <v>0</v>
      </c>
      <c r="M23" s="161">
        <v>20</v>
      </c>
      <c r="N23" s="162">
        <f>IF(PTDropdown="PT 2", IF(OR(Input!G29=1/4,Input!G29=0.25), 1,0),IF(Input!G29=(VLOOKUP(Input!F29,Table7[#All],PTKEY,TRUE)), 1, 0))</f>
        <v>0</v>
      </c>
      <c r="P23" s="158">
        <v>20</v>
      </c>
      <c r="Q23" s="159">
        <f>IF(Input!I29=(VLOOKUP(Input!H29,Table5[#All],PTKEY,TRUE)), 1, 0)</f>
        <v>0</v>
      </c>
      <c r="S23" s="93">
        <v>20</v>
      </c>
      <c r="T23" s="93">
        <f>IF(PTKEY=2,IF(AND('PT 1 Skill Tables'!F24=1,'PT 1 Skill Tables'!E24=1),1,0),IF(PTKEY=3,IF(AND('PT 2 Skill Tables'!F24=1,'PT 2 Skill Tables'!E24=1),1,0),IF(PTKEY=4,IF(AND('PT 3 Skill Tables'!F24=1,'PT 3 Skill Tables'!E24=1),1,0),IF(PTKEY=5,IF(AND('PT 4 Skill Tables'!F24=1,'PT 4 Skill Tables'!E24=1),1,0),IF(PTKEY=6,IF(AND('PT 5 Skill Tables'!F24=1,'PT 5 Skill Tables'!E24=1),1,0),IF(PTKEY=7,IF(AND('PT 6 Skill Tables'!F24=1,'PT 6 Skill Tables'!E24=1),1,0),""))))))</f>
        <v>0</v>
      </c>
      <c r="U23" s="93">
        <f>IF(PTKEY=2,IF(AND('PT 1 Skill Tables'!O24=1,'PT 1 Skill Tables'!N24=1),1,0),IF(PTKEY=3,IF(AND('PT 2 Skill Tables'!O24=1,'PT 2 Skill Tables'!N24=1),1,0),IF(PTKEY=4,IF(AND('PT 3 Skill Tables'!O24=1,'PT 3 Skill Tables'!N24=1),1,0),IF(PTKEY=5,IF(AND('PT 4 Skill Tables'!O24=1,'PT 4 Skill Tables'!N24=1),1,0),IF(PTKEY=6,IF(AND('PT 5 Skill Tables'!O24=1,'PT 5 Skill Tables'!N24=1),1,0),IF(PTKEY=7,IF(AND('PT 6 Skill Tables'!O24=1,'PT 6 Skill Tables'!N24=1),1,0),""))))))</f>
        <v>0</v>
      </c>
      <c r="W23" s="93">
        <v>20</v>
      </c>
      <c r="X23" s="93">
        <f>IF(PTKEY=2,IF(AND('PT 1 Skill Tables'!G24=1,'PT 1 Skill Tables'!E24=1),1,0),IF(PTKEY=3,IF(AND('PT 2 Skill Tables'!G24=1,'PT 2 Skill Tables'!E24=1),1,0),IF(PTKEY=4,IF(AND('PT 3 Skill Tables'!G24=1,'PT 3 Skill Tables'!E24=1),1,0),IF(PTKEY=5,IF(AND('PT 4 Skill Tables'!G24=1,'PT 4 Skill Tables'!E24=1),1,0),IF(PTKEY=6,IF(AND('PT 5 Skill Tables'!G24=1,'PT 5 Skill Tables'!E24=1),1,0),IF(PTKEY=7,IF(AND('PT 6 Skill Tables'!G24=1,'PT 6 Skill Tables'!E24=1),1,0),""))))))</f>
        <v>0</v>
      </c>
      <c r="Y23" s="93">
        <f>IF(PTKEY=2,IF(AND('PT 1 Skill Tables'!P24=1,'PT 1 Skill Tables'!N24=1),1,0),IF(PTKEY=3,IF(AND('PT 2 Skill Tables'!P24=1,'PT 2 Skill Tables'!N24=1),1,0),IF(PTKEY=4,IF(AND('PT 3 Skill Tables'!P24=1,'PT 3 Skill Tables'!N24=1),1,0),IF(PTKEY=5,IF(AND('PT 4 Skill Tables'!P24=1,'PT 4 Skill Tables'!N24=1),1,0),IF(PTKEY=6,IF(AND('PT 5 Skill Tables'!P24=1,'PT 5 Skill Tables'!N24=1),1,0),IF(PTKEY=7,IF(AND('PT 6 Skill Tables'!P24=1,'PT 6 Skill Tables'!N24=1),1,0),""))))))</f>
        <v>0</v>
      </c>
      <c r="AA23" s="136">
        <v>20</v>
      </c>
      <c r="AB23" s="93">
        <f>IF(PTKEY=2, IF(AND('PT 1 Skill Tables'!H24=1,'PT 1 Skill Tables'!E24=1), 1, 0), IF(PTKEY=3,IF(AND('PT 2 Skill Tables'!H24=1,'PT 2 Skill Tables'!E24=1), 1, 0),IF(PTKEY=4,IF(AND('PT 3 Skill Tables'!H24=1,'PT 3 Skill Tables'!E24=1), 1, 0), IF(PTKEY=5,IF(AND('PT 4 Skill Tables'!H24=1,'PT 4 Skill Tables'!E24=1), 1, 0),IF(PTKEY=6,IF(AND('PT 5 Skill Tables'!H24=1,'PT 5 Skill Tables'!E24=1),1,0),IF(PTKEY=7,IF(AND('PT 6 Skill Tables'!H24=1,'PT 6 Skill Tables'!E24=1),1,0),""))))))</f>
        <v>0</v>
      </c>
      <c r="AC23" s="93">
        <f>IF(PTKEY=2, IF(AND('PT 1 Skill Tables'!Q24=1,'PT 1 Skill Tables'!N24=1), 1, 0), IF(PTKEY=3,IF(AND('PT 2 Skill Tables'!Q24=1,'PT 2 Skill Tables'!N24=1), 1, 0),IF(PTKEY=4,IF(AND('PT 3 Skill Tables'!Q24=1,'PT 3 Skill Tables'!N24=1), 1, 0), IF(PTKEY=5,IF(AND('PT 4 Skill Tables'!Q24=1,'PT 4 Skill Tables'!N24=1), 1, 0),IF(PTKEY=6,IF(AND('PT 5 Skill Tables'!Q24=1,'PT 5 Skill Tables'!N24=1),1,0),IF(PTKEY=7,IF(AND('PT 6 Skill Tables'!Q24=1,'PT 6 Skill Tables'!N24=1),1,0),""))))))</f>
        <v>0</v>
      </c>
      <c r="AD23" s="93">
        <f>IF(PTKEY=2, IF(AND('PT 1 Skill Tables'!X24=1,'PT 1 Skill Tables'!W24=1), 1, 0), IF(PTKEY=3,IF(AND('PT 2 Skill Tables'!X24=1,'PT 2 Skill Tables'!W24=1), 1, 0),IF(PTKEY=4,IF(AND('PT 3 Skill Tables'!X24=1,'PT 3 Skill Tables'!W24=1), 1, 0),IF(PTKEY=5,IF(AND('PT 4 Skill Tables'!X24=1,'PT 4 Skill Tables'!W24=1), 1, 0),IF(PTKEY=6,IF(AND('PT 5 Skill Tables'!X24=1,'PT 5 Skill Tables'!W24=1),1,0), IF(PTKEY=7,IF(AND('PT 6 Skill Tables'!X24=1,'PT 6 Skill Tables'!W24=1),1,0),""))))))</f>
        <v>0</v>
      </c>
      <c r="AE23" s="93">
        <f>IF(PTKEY=2, IF(AND('PT 1 Skill Tables'!AE24=1,'PT 1 Skill Tables'!AD24=1), 1, 0), IF(PTKEY=3,IF(AND('PT 2 Skill Tables'!AE24=1,'PT 2 Skill Tables'!AD24=1), 1, 0),IF(PTKEY=4,IF(AND('PT 3 Skill Tables'!AE24=1,'PT 3 Skill Tables'!AD24=1), 1, 0),IF(PTKEY=5,IF(AND('PT 4 Skill Tables'!AE24=1,'PT 4 Skill Tables'!AD24=1), 1, 0),IF(PTKEY=6,IF(AND('PT 5 Skill Tables'!AE24=1,'PT 5 Skill Tables'!AD24=1),1,0),IF(PTKEY=7,IF(AND('PT 6 Skill Tables'!AE24=1,'PT 6 Skill Tables'!AD24=1),1,0),""))))))</f>
        <v>0</v>
      </c>
      <c r="AG23" s="93">
        <v>20</v>
      </c>
      <c r="AH23" s="93">
        <f>IF(PTKEY=2, IF(AND('PT 1 Skill Tables'!I24=1,'PT 1 Skill Tables'!E24=1), 1, 0), IF(PTKEY=3,IF(AND('PT 2 Skill Tables'!I24=1,'PT 2 Skill Tables'!E24=1), 1, 0), IF(PTKEY=4,IF(AND('PT 3 Skill Tables'!I24=1,'PT 3 Skill Tables'!E24=1), 1, 0),IF(PTKEY=5,IF(AND('PT 4 Skill Tables'!I24=1,'PT 4 Skill Tables'!E24=1), 1, 0),IF(PTKEY=6,IF(AND('PT 5 Skill Tables'!I24=1,'PT 5 Skill Tables'!E24=1),1,0),IF(PTKEY=7,IF(AND('PT 6 Skill Tables'!I24=1,'PT 6 Skill Tables'!E24=1),1,0),""))))))</f>
        <v>0</v>
      </c>
      <c r="AI23" s="93">
        <f>IF(PTKEY=2,IF(AND('PT 1 Skill Tables'!R24=1,'PT 1 Skill Tables'!N24=1),1,0),IF(PTKEY=3,IF(AND('PT 2 Skill Tables'!R24=1,'PT 2 Skill Tables'!N24=1),1,0),IF(PTKEY=4,IF(AND('PT 3 Skill Tables'!R24=1,'PT 3 Skill Tables'!N24=1),1,0),IF(PTKEY=5,IF(AND('PT 4 Skill Tables'!R24=1,'PT 4 Skill Tables'!N24=1),1,0),IF(PTKEY=6,IF(AND('PT 5 Skill Tables'!R24=1,'PT 5 Skill Tables'!N24=1),1,0),IF(PTKEY=7,IF(AND('PT 6 Skill Tables'!R24=1,'PT 6 Skill Tables'!N24=1),1,0),""))))))</f>
        <v>0</v>
      </c>
      <c r="AJ23" s="93">
        <f>IF(PTKEY=2,IF(AND('PT 1 Skill Tables'!Y24=1,'PT 1 Skill Tables'!W24=1),1,0),IF(PTKEY=3,IF(AND('PT 2 Skill Tables'!Y24=1,'PT 2 Skill Tables'!W24=1),1,0),IF(PTKEY=4,IF(AND('PT 3 Skill Tables'!Y24=1,'PT 3 Skill Tables'!W24=1),1,0),IF(PTKEY=5,IF(AND('PT 4 Skill Tables'!Y24=1,'PT 4 Skill Tables'!W24=1),1,0),IF(PTKEY=6,IF(AND('PT 5 Skill Tables'!Y24=1,'PT 5 Skill Tables'!W24=1),1,0),IF(PTKEY=7,IF(AND('PT 6 Skill Tables'!Y24=1,'PT 6 Skill Tables'!W24=1),1,0),""))))))</f>
        <v>0</v>
      </c>
      <c r="AK23" s="93">
        <f>IF(PTKEY=2,IF(AND('PT 1 Skill Tables'!AF24=1,'PT 1 Skill Tables'!AD24=1),1,0),IF(PTKEY=3,IF(AND('PT 2 Skill Tables'!AF24=1,'PT 2 Skill Tables'!AD24=1),1,0),IF(PTKEY=4,IF(AND('PT 3 Skill Tables'!AF24=1,'PT 3 Skill Tables'!AD24=1),1,0),IF(PTKEY=5,IF(AND('PT 4 Skill Tables'!AF24=1,'PT 4 Skill Tables'!AD24=1),1,0),IF(PTKEY=6,IF(AND('PT 5 Skill Tables'!AF24=1,'PT 5 Skill Tables'!AD24=1),1,0),IF(PTKEY=7,IF(AND('PT 6 Skill Tables'!AF24=1,'PT 6 Skill Tables'!AD24=1),1,0),""))))))</f>
        <v>0</v>
      </c>
    </row>
    <row r="24" spans="7:37">
      <c r="G24" s="160">
        <v>21</v>
      </c>
      <c r="H24" s="159">
        <f>IF(Input!C30=(VLOOKUP(Input!B30,Table2[#All],PTKEY,TRUE)), 1, 0)</f>
        <v>0</v>
      </c>
      <c r="J24" s="160">
        <v>21</v>
      </c>
      <c r="K24" s="159">
        <f>IF(Input!E30=(VLOOKUP(Input!D30,Table3[#All],PTKEY,TRUE)), 1, 0)</f>
        <v>0</v>
      </c>
      <c r="P24" s="160">
        <v>21</v>
      </c>
      <c r="Q24" s="159">
        <f>IF(Input!I30=(VLOOKUP(Input!H30,Table5[#All],PTKEY,TRUE)), 1, 0)</f>
        <v>0</v>
      </c>
      <c r="S24" s="93">
        <v>21</v>
      </c>
      <c r="T24" s="93">
        <f>IF(PTKEY=2,IF(AND('PT 1 Skill Tables'!F25=1,'PT 1 Skill Tables'!E25=1),1,0),IF(PTKEY=3,IF(AND('PT 2 Skill Tables'!F25=1,'PT 2 Skill Tables'!E25=1),1,0),IF(PTKEY=4,IF(AND('PT 3 Skill Tables'!F25=1,'PT 3 Skill Tables'!E25=1),1,0),IF(PTKEY=5,IF(AND('PT 4 Skill Tables'!F25=1,'PT 4 Skill Tables'!E25=1),1,0),IF(PTKEY=6,IF(AND('PT 5 Skill Tables'!F25=1,'PT 5 Skill Tables'!E25=1),1,0),IF(PTKEY=7,IF(AND('PT 6 Skill Tables'!F25=1,'PT 6 Skill Tables'!E25=1),1,0),""))))))</f>
        <v>0</v>
      </c>
      <c r="U24" s="93">
        <f>IF(PTKEY=2,IF(AND('PT 1 Skill Tables'!O25=1,'PT 1 Skill Tables'!N25=1),1,0),IF(PTKEY=3,IF(AND('PT 2 Skill Tables'!O25=1,'PT 2 Skill Tables'!N25=1),1,0),IF(PTKEY=4,IF(AND('PT 3 Skill Tables'!O25=1,'PT 3 Skill Tables'!N25=1),1,0),IF(PTKEY=5,IF(AND('PT 4 Skill Tables'!O25=1,'PT 4 Skill Tables'!N25=1),1,0),IF(PTKEY=6,IF(AND('PT 5 Skill Tables'!O25=1,'PT 5 Skill Tables'!N25=1),1,0),IF(PTKEY=7,IF(AND('PT 6 Skill Tables'!O25=1,'PT 6 Skill Tables'!N25=1),1,0),""))))))</f>
        <v>0</v>
      </c>
      <c r="W24" s="93">
        <v>21</v>
      </c>
      <c r="X24" s="93">
        <f>IF(PTKEY=2,IF(AND('PT 1 Skill Tables'!G25=1,'PT 1 Skill Tables'!E25=1),1,0),IF(PTKEY=3,IF(AND('PT 2 Skill Tables'!G25=1,'PT 2 Skill Tables'!E25=1),1,0),IF(PTKEY=4,IF(AND('PT 3 Skill Tables'!G25=1,'PT 3 Skill Tables'!E25=1),1,0),IF(PTKEY=5,IF(AND('PT 4 Skill Tables'!G25=1,'PT 4 Skill Tables'!E25=1),1,0),IF(PTKEY=6,IF(AND('PT 5 Skill Tables'!G25=1,'PT 5 Skill Tables'!E25=1),1,0),IF(PTKEY=7,IF(AND('PT 6 Skill Tables'!G25=1,'PT 6 Skill Tables'!E25=1),1,0),""))))))</f>
        <v>0</v>
      </c>
      <c r="Y24" s="93">
        <f>IF(PTKEY=2,IF(AND('PT 1 Skill Tables'!P25=1,'PT 1 Skill Tables'!N25=1),1,0),IF(PTKEY=3,IF(AND('PT 2 Skill Tables'!P25=1,'PT 2 Skill Tables'!N25=1),1,0),IF(PTKEY=4,IF(AND('PT 3 Skill Tables'!P25=1,'PT 3 Skill Tables'!N25=1),1,0),IF(PTKEY=5,IF(AND('PT 4 Skill Tables'!P25=1,'PT 4 Skill Tables'!N25=1),1,0),IF(PTKEY=6,IF(AND('PT 5 Skill Tables'!P25=1,'PT 5 Skill Tables'!N25=1),1,0),IF(PTKEY=7,IF(AND('PT 6 Skill Tables'!P25=1,'PT 6 Skill Tables'!N25=1),1,0),""))))))</f>
        <v>0</v>
      </c>
      <c r="AA24" s="135">
        <v>21</v>
      </c>
      <c r="AB24" s="93">
        <f>IF(PTKEY=2, IF(AND('PT 1 Skill Tables'!H25=1,'PT 1 Skill Tables'!E25=1), 1, 0), IF(PTKEY=3,IF(AND('PT 2 Skill Tables'!H25=1,'PT 2 Skill Tables'!E25=1), 1, 0),IF(PTKEY=4,IF(AND('PT 3 Skill Tables'!H25=1,'PT 3 Skill Tables'!E25=1), 1, 0), IF(PTKEY=5,IF(AND('PT 4 Skill Tables'!H25=1,'PT 4 Skill Tables'!E25=1), 1, 0),IF(PTKEY=6,IF(AND('PT 5 Skill Tables'!H25=1,'PT 5 Skill Tables'!E25=1),1,0),IF(PTKEY=7,IF(AND('PT 6 Skill Tables'!H25=1,'PT 6 Skill Tables'!E25=1),1,0),""))))))</f>
        <v>0</v>
      </c>
      <c r="AC24" s="93">
        <f>IF(PTKEY=2, IF(AND('PT 1 Skill Tables'!Q25=1,'PT 1 Skill Tables'!N25=1), 1, 0), IF(PTKEY=3,IF(AND('PT 2 Skill Tables'!Q25=1,'PT 2 Skill Tables'!N25=1), 1, 0),IF(PTKEY=4,IF(AND('PT 3 Skill Tables'!Q25=1,'PT 3 Skill Tables'!N25=1), 1, 0), IF(PTKEY=5,IF(AND('PT 4 Skill Tables'!Q25=1,'PT 4 Skill Tables'!N25=1), 1, 0),IF(PTKEY=6,IF(AND('PT 5 Skill Tables'!Q25=1,'PT 5 Skill Tables'!N25=1),1,0),IF(PTKEY=7,IF(AND('PT 6 Skill Tables'!Q25=1,'PT 6 Skill Tables'!N25=1),1,0),""))))))</f>
        <v>0</v>
      </c>
      <c r="AD24" s="93">
        <f>IF(PTKEY=2, IF(AND('PT 1 Skill Tables'!X25=1,'PT 1 Skill Tables'!W25=1), 1, 0), IF(PTKEY=3,IF(AND('PT 2 Skill Tables'!X25=1,'PT 2 Skill Tables'!W25=1), 1, 0),IF(PTKEY=4,IF(AND('PT 3 Skill Tables'!X25=1,'PT 3 Skill Tables'!W25=1), 1, 0),IF(PTKEY=5,IF(AND('PT 4 Skill Tables'!X25=1,'PT 4 Skill Tables'!W25=1), 1, 0),IF(PTKEY=6,IF(AND('PT 5 Skill Tables'!X25=1,'PT 5 Skill Tables'!W25=1),1,0), IF(PTKEY=7,IF(AND('PT 6 Skill Tables'!X25=1,'PT 6 Skill Tables'!W25=1),1,0),""))))))</f>
        <v>0</v>
      </c>
      <c r="AE24" s="93">
        <f>IF(PTKEY=2, IF(AND('PT 1 Skill Tables'!AE25=1,'PT 1 Skill Tables'!AD25=1), 1, 0), IF(PTKEY=3,IF(AND('PT 2 Skill Tables'!AE25=1,'PT 2 Skill Tables'!AD25=1), 1, 0),IF(PTKEY=4,IF(AND('PT 3 Skill Tables'!AE25=1,'PT 3 Skill Tables'!AD25=1), 1, 0),IF(PTKEY=5,IF(AND('PT 4 Skill Tables'!AE25=1,'PT 4 Skill Tables'!AD25=1), 1, 0),IF(PTKEY=6,IF(AND('PT 5 Skill Tables'!AE25=1,'PT 5 Skill Tables'!AD25=1),1,0),IF(PTKEY=7,IF(AND('PT 6 Skill Tables'!AE25=1,'PT 6 Skill Tables'!AD25=1),1,0),""))))))</f>
        <v>0</v>
      </c>
      <c r="AG24" s="93">
        <v>21</v>
      </c>
      <c r="AH24" s="93">
        <f>IF(PTKEY=2, IF(AND('PT 1 Skill Tables'!I25=1,'PT 1 Skill Tables'!E25=1), 1, 0), IF(PTKEY=3,IF(AND('PT 2 Skill Tables'!I25=1,'PT 2 Skill Tables'!E25=1), 1, 0), IF(PTKEY=4,IF(AND('PT 3 Skill Tables'!I25=1,'PT 3 Skill Tables'!E25=1), 1, 0),IF(PTKEY=5,IF(AND('PT 4 Skill Tables'!I25=1,'PT 4 Skill Tables'!E25=1), 1, 0),IF(PTKEY=6,IF(AND('PT 5 Skill Tables'!I25=1,'PT 5 Skill Tables'!E25=1),1,0),IF(PTKEY=7,IF(AND('PT 6 Skill Tables'!I25=1,'PT 6 Skill Tables'!E25=1),1,0),""))))))</f>
        <v>0</v>
      </c>
      <c r="AI24" s="93">
        <f>IF(PTKEY=2,IF(AND('PT 1 Skill Tables'!R25=1,'PT 1 Skill Tables'!N25=1),1,0),IF(PTKEY=3,IF(AND('PT 2 Skill Tables'!R25=1,'PT 2 Skill Tables'!N25=1),1,0),IF(PTKEY=4,IF(AND('PT 3 Skill Tables'!R25=1,'PT 3 Skill Tables'!N25=1),1,0),IF(PTKEY=5,IF(AND('PT 4 Skill Tables'!R25=1,'PT 4 Skill Tables'!N25=1),1,0),IF(PTKEY=6,IF(AND('PT 5 Skill Tables'!R25=1,'PT 5 Skill Tables'!N25=1),1,0),IF(PTKEY=7,IF(AND('PT 6 Skill Tables'!R25=1,'PT 6 Skill Tables'!N25=1),1,0),""))))))</f>
        <v>0</v>
      </c>
      <c r="AJ24" s="93">
        <f>IF(PTKEY=2,IF(AND('PT 1 Skill Tables'!Y25=1,'PT 1 Skill Tables'!W25=1),1,0),IF(PTKEY=3,IF(AND('PT 2 Skill Tables'!Y25=1,'PT 2 Skill Tables'!W25=1),1,0),IF(PTKEY=4,IF(AND('PT 3 Skill Tables'!Y25=1,'PT 3 Skill Tables'!W25=1),1,0),IF(PTKEY=5,IF(AND('PT 4 Skill Tables'!Y25=1,'PT 4 Skill Tables'!W25=1),1,0),IF(PTKEY=6,IF(AND('PT 5 Skill Tables'!Y25=1,'PT 5 Skill Tables'!W25=1),1,0),IF(PTKEY=7,IF(AND('PT 6 Skill Tables'!Y25=1,'PT 6 Skill Tables'!W25=1),1,0),""))))))</f>
        <v>0</v>
      </c>
      <c r="AK24" s="93">
        <f>IF(PTKEY=2,IF(AND('PT 1 Skill Tables'!AF25=1,'PT 1 Skill Tables'!AD25=1),1,0),IF(PTKEY=3,IF(AND('PT 2 Skill Tables'!AF25=1,'PT 2 Skill Tables'!AD25=1),1,0),IF(PTKEY=4,IF(AND('PT 3 Skill Tables'!AF25=1,'PT 3 Skill Tables'!AD25=1),1,0),IF(PTKEY=5,IF(AND('PT 4 Skill Tables'!AF25=1,'PT 4 Skill Tables'!AD25=1),1,0),IF(PTKEY=6,IF(AND('PT 5 Skill Tables'!AF25=1,'PT 5 Skill Tables'!AD25=1),1,0),IF(PTKEY=7,IF(AND('PT 6 Skill Tables'!AF25=1,'PT 6 Skill Tables'!AD25=1),1,0),""))))))</f>
        <v>0</v>
      </c>
    </row>
    <row r="25" spans="7:37">
      <c r="G25" s="158">
        <v>22</v>
      </c>
      <c r="H25" s="159">
        <f>IF(Input!C31=(VLOOKUP(Input!B31,Table2[#All],PTKEY,TRUE)), 1, 0)</f>
        <v>0</v>
      </c>
      <c r="J25" s="158">
        <v>22</v>
      </c>
      <c r="K25" s="159">
        <f>IF(Input!E31=(VLOOKUP(Input!D31,Table3[#All],PTKEY,TRUE)), 1, 0)</f>
        <v>0</v>
      </c>
      <c r="P25" s="158">
        <v>22</v>
      </c>
      <c r="Q25" s="159">
        <f>IF(Input!I31=(VLOOKUP(Input!H31,Table5[#All],PTKEY,TRUE)), 1, 0)</f>
        <v>0</v>
      </c>
      <c r="S25" s="93">
        <v>22</v>
      </c>
      <c r="T25" s="93">
        <f>IF(PTKEY=2,IF(AND('PT 1 Skill Tables'!F26=1,'PT 1 Skill Tables'!E26=1),1,0),IF(PTKEY=3,IF(AND('PT 2 Skill Tables'!F26=1,'PT 2 Skill Tables'!E26=1),1,0),IF(PTKEY=4,IF(AND('PT 3 Skill Tables'!F26=1,'PT 3 Skill Tables'!E26=1),1,0),IF(PTKEY=5,IF(AND('PT 4 Skill Tables'!F26=1,'PT 4 Skill Tables'!E26=1),1,0),IF(PTKEY=6,IF(AND('PT 5 Skill Tables'!F26=1,'PT 5 Skill Tables'!E26=1),1,0),IF(PTKEY=7,IF(AND('PT 6 Skill Tables'!F26=1,'PT 6 Skill Tables'!E26=1),1,0),""))))))</f>
        <v>0</v>
      </c>
      <c r="U25" s="93">
        <f>IF(PTKEY=2,IF(AND('PT 1 Skill Tables'!O26=1,'PT 1 Skill Tables'!N26=1),1,0),IF(PTKEY=3,IF(AND('PT 2 Skill Tables'!O26=1,'PT 2 Skill Tables'!N26=1),1,0),IF(PTKEY=4,IF(AND('PT 3 Skill Tables'!O26=1,'PT 3 Skill Tables'!N26=1),1,0),IF(PTKEY=5,IF(AND('PT 4 Skill Tables'!O26=1,'PT 4 Skill Tables'!N26=1),1,0),IF(PTKEY=6,IF(AND('PT 5 Skill Tables'!O26=1,'PT 5 Skill Tables'!N26=1),1,0),IF(PTKEY=7,IF(AND('PT 6 Skill Tables'!O26=1,'PT 6 Skill Tables'!N26=1),1,0),""))))))</f>
        <v>0</v>
      </c>
      <c r="W25" s="93">
        <v>22</v>
      </c>
      <c r="X25" s="93">
        <f>IF(PTKEY=2,IF(AND('PT 1 Skill Tables'!G26=1,'PT 1 Skill Tables'!E26=1),1,0),IF(PTKEY=3,IF(AND('PT 2 Skill Tables'!G26=1,'PT 2 Skill Tables'!E26=1),1,0),IF(PTKEY=4,IF(AND('PT 3 Skill Tables'!G26=1,'PT 3 Skill Tables'!E26=1),1,0),IF(PTKEY=5,IF(AND('PT 4 Skill Tables'!G26=1,'PT 4 Skill Tables'!E26=1),1,0),IF(PTKEY=6,IF(AND('PT 5 Skill Tables'!G26=1,'PT 5 Skill Tables'!E26=1),1,0),IF(PTKEY=7,IF(AND('PT 6 Skill Tables'!G26=1,'PT 6 Skill Tables'!E26=1),1,0),""))))))</f>
        <v>0</v>
      </c>
      <c r="Y25" s="93">
        <f>IF(PTKEY=2,IF(AND('PT 1 Skill Tables'!P26=1,'PT 1 Skill Tables'!N26=1),1,0),IF(PTKEY=3,IF(AND('PT 2 Skill Tables'!P26=1,'PT 2 Skill Tables'!N26=1),1,0),IF(PTKEY=4,IF(AND('PT 3 Skill Tables'!P26=1,'PT 3 Skill Tables'!N26=1),1,0),IF(PTKEY=5,IF(AND('PT 4 Skill Tables'!P26=1,'PT 4 Skill Tables'!N26=1),1,0),IF(PTKEY=6,IF(AND('PT 5 Skill Tables'!P26=1,'PT 5 Skill Tables'!N26=1),1,0),IF(PTKEY=7,IF(AND('PT 6 Skill Tables'!P26=1,'PT 6 Skill Tables'!N26=1),1,0),""))))))</f>
        <v>0</v>
      </c>
      <c r="AA25" s="136">
        <v>22</v>
      </c>
      <c r="AB25" s="93">
        <f>IF(PTKEY=2, IF(AND('PT 1 Skill Tables'!H26=1,'PT 1 Skill Tables'!E26=1), 1, 0), IF(PTKEY=3,IF(AND('PT 2 Skill Tables'!H26=1,'PT 2 Skill Tables'!E26=1), 1, 0),IF(PTKEY=4,IF(AND('PT 3 Skill Tables'!H26=1,'PT 3 Skill Tables'!E26=1), 1, 0), IF(PTKEY=5,IF(AND('PT 4 Skill Tables'!H26=1,'PT 4 Skill Tables'!E26=1), 1, 0),IF(PTKEY=6,IF(AND('PT 5 Skill Tables'!H26=1,'PT 5 Skill Tables'!E26=1),1,0),IF(PTKEY=7,IF(AND('PT 6 Skill Tables'!H26=1,'PT 6 Skill Tables'!E26=1),1,0),""))))))</f>
        <v>0</v>
      </c>
      <c r="AC25" s="93">
        <f>IF(PTKEY=2, IF(AND('PT 1 Skill Tables'!Q26=1,'PT 1 Skill Tables'!N26=1), 1, 0), IF(PTKEY=3,IF(AND('PT 2 Skill Tables'!Q26=1,'PT 2 Skill Tables'!N26=1), 1, 0),IF(PTKEY=4,IF(AND('PT 3 Skill Tables'!Q26=1,'PT 3 Skill Tables'!N26=1), 1, 0), IF(PTKEY=5,IF(AND('PT 4 Skill Tables'!Q26=1,'PT 4 Skill Tables'!N26=1), 1, 0),IF(PTKEY=6,IF(AND('PT 5 Skill Tables'!Q26=1,'PT 5 Skill Tables'!N26=1),1,0),IF(PTKEY=7,IF(AND('PT 6 Skill Tables'!Q26=1,'PT 6 Skill Tables'!N26=1),1,0),""))))))</f>
        <v>0</v>
      </c>
      <c r="AD25" s="93">
        <f>IF(PTKEY=2, IF(AND('PT 1 Skill Tables'!X26=1,'PT 1 Skill Tables'!W26=1), 1, 0), IF(PTKEY=3,IF(AND('PT 2 Skill Tables'!X26=1,'PT 2 Skill Tables'!W26=1), 1, 0),IF(PTKEY=4,IF(AND('PT 3 Skill Tables'!X26=1,'PT 3 Skill Tables'!W26=1), 1, 0),IF(PTKEY=5,IF(AND('PT 4 Skill Tables'!X26=1,'PT 4 Skill Tables'!W26=1), 1, 0),IF(PTKEY=6,IF(AND('PT 5 Skill Tables'!X26=1,'PT 5 Skill Tables'!W26=1),1,0), IF(PTKEY=7,IF(AND('PT 6 Skill Tables'!X26=1,'PT 6 Skill Tables'!W26=1),1,0),""))))))</f>
        <v>0</v>
      </c>
      <c r="AE25" s="93">
        <f>IF(PTKEY=2, IF(AND('PT 1 Skill Tables'!AE26=1,'PT 1 Skill Tables'!AD26=1), 1, 0), IF(PTKEY=3,IF(AND('PT 2 Skill Tables'!AE26=1,'PT 2 Skill Tables'!AD26=1), 1, 0),IF(PTKEY=4,IF(AND('PT 3 Skill Tables'!AE26=1,'PT 3 Skill Tables'!AD26=1), 1, 0),IF(PTKEY=5,IF(AND('PT 4 Skill Tables'!AE26=1,'PT 4 Skill Tables'!AD26=1), 1, 0),IF(PTKEY=6,IF(AND('PT 5 Skill Tables'!AE26=1,'PT 5 Skill Tables'!AD26=1),1,0),IF(PTKEY=7,IF(AND('PT 6 Skill Tables'!AE26=1,'PT 6 Skill Tables'!AD26=1),1,0),""))))))</f>
        <v>0</v>
      </c>
      <c r="AG25" s="93">
        <v>22</v>
      </c>
      <c r="AH25" s="93">
        <f>IF(PTKEY=2, IF(AND('PT 1 Skill Tables'!I26=1,'PT 1 Skill Tables'!E26=1), 1, 0), IF(PTKEY=3,IF(AND('PT 2 Skill Tables'!I26=1,'PT 2 Skill Tables'!E26=1), 1, 0), IF(PTKEY=4,IF(AND('PT 3 Skill Tables'!I26=1,'PT 3 Skill Tables'!E26=1), 1, 0),IF(PTKEY=5,IF(AND('PT 4 Skill Tables'!I26=1,'PT 4 Skill Tables'!E26=1), 1, 0),IF(PTKEY=6,IF(AND('PT 5 Skill Tables'!I26=1,'PT 5 Skill Tables'!E26=1),1,0),IF(PTKEY=7,IF(AND('PT 6 Skill Tables'!I26=1,'PT 6 Skill Tables'!E26=1),1,0),""))))))</f>
        <v>0</v>
      </c>
      <c r="AI25" s="93">
        <f>IF(PTKEY=2,IF(AND('PT 1 Skill Tables'!R26=1,'PT 1 Skill Tables'!N26=1),1,0),IF(PTKEY=3,IF(AND('PT 2 Skill Tables'!R26=1,'PT 2 Skill Tables'!N26=1),1,0),IF(PTKEY=4,IF(AND('PT 3 Skill Tables'!R26=1,'PT 3 Skill Tables'!N26=1),1,0),IF(PTKEY=5,IF(AND('PT 4 Skill Tables'!R26=1,'PT 4 Skill Tables'!N26=1),1,0),IF(PTKEY=6,IF(AND('PT 5 Skill Tables'!R26=1,'PT 5 Skill Tables'!N26=1),1,0),IF(PTKEY=7,IF(AND('PT 6 Skill Tables'!R26=1,'PT 6 Skill Tables'!N26=1),1,0),""))))))</f>
        <v>0</v>
      </c>
      <c r="AJ25" s="93">
        <f>IF(PTKEY=2,IF(AND('PT 1 Skill Tables'!Y26=1,'PT 1 Skill Tables'!W26=1),1,0),IF(PTKEY=3,IF(AND('PT 2 Skill Tables'!Y26=1,'PT 2 Skill Tables'!W26=1),1,0),IF(PTKEY=4,IF(AND('PT 3 Skill Tables'!Y26=1,'PT 3 Skill Tables'!W26=1),1,0),IF(PTKEY=5,IF(AND('PT 4 Skill Tables'!Y26=1,'PT 4 Skill Tables'!W26=1),1,0),IF(PTKEY=6,IF(AND('PT 5 Skill Tables'!Y26=1,'PT 5 Skill Tables'!W26=1),1,0),IF(PTKEY=7,IF(AND('PT 6 Skill Tables'!Y26=1,'PT 6 Skill Tables'!W26=1),1,0),""))))))</f>
        <v>0</v>
      </c>
      <c r="AK25" s="93">
        <f>IF(PTKEY=2,IF(AND('PT 1 Skill Tables'!AF26=1,'PT 1 Skill Tables'!AD26=1),1,0),IF(PTKEY=3,IF(AND('PT 2 Skill Tables'!AF26=1,'PT 2 Skill Tables'!AD26=1),1,0),IF(PTKEY=4,IF(AND('PT 3 Skill Tables'!AF26=1,'PT 3 Skill Tables'!AD26=1),1,0),IF(PTKEY=5,IF(AND('PT 4 Skill Tables'!AF26=1,'PT 4 Skill Tables'!AD26=1),1,0),IF(PTKEY=6,IF(AND('PT 5 Skill Tables'!AF26=1,'PT 5 Skill Tables'!AD26=1),1,0),IF(PTKEY=7,IF(AND('PT 6 Skill Tables'!AF26=1,'PT 6 Skill Tables'!AD26=1),1,0),""))))))</f>
        <v>0</v>
      </c>
    </row>
    <row r="26" spans="7:37">
      <c r="G26" s="160">
        <v>23</v>
      </c>
      <c r="H26" s="159">
        <f>IF(Input!C32=(VLOOKUP(Input!B32,Table2[#All],PTKEY,TRUE)), 1, 0)</f>
        <v>0</v>
      </c>
      <c r="J26" s="160">
        <v>23</v>
      </c>
      <c r="K26" s="159">
        <f>IF(Input!E32=(VLOOKUP(Input!D32,Table3[#All],PTKEY,TRUE)), 1, 0)</f>
        <v>0</v>
      </c>
      <c r="P26" s="160">
        <v>23</v>
      </c>
      <c r="Q26" s="159">
        <f>IF(Input!I32=(VLOOKUP(Input!H32,Table5[#All],PTKEY,TRUE)), 1, 0)</f>
        <v>0</v>
      </c>
      <c r="S26" s="93">
        <v>23</v>
      </c>
      <c r="T26" s="93">
        <f>IF(PTKEY=2,IF(AND('PT 1 Skill Tables'!F27=1,'PT 1 Skill Tables'!E27=1),1,0),IF(PTKEY=3,IF(AND('PT 2 Skill Tables'!F27=1,'PT 2 Skill Tables'!E27=1),1,0),IF(PTKEY=4,IF(AND('PT 3 Skill Tables'!F27=1,'PT 3 Skill Tables'!E27=1),1,0),IF(PTKEY=5,IF(AND('PT 4 Skill Tables'!F27=1,'PT 4 Skill Tables'!E27=1),1,0),IF(PTKEY=6,IF(AND('PT 5 Skill Tables'!F27=1,'PT 5 Skill Tables'!E27=1),1,0),IF(PTKEY=7,IF(AND('PT 6 Skill Tables'!F27=1,'PT 6 Skill Tables'!E27=1),1,0),""))))))</f>
        <v>0</v>
      </c>
      <c r="U26" s="93">
        <f>IF(PTKEY=2,IF(AND('PT 1 Skill Tables'!O27=1,'PT 1 Skill Tables'!N27=1),1,0),IF(PTKEY=3,IF(AND('PT 2 Skill Tables'!O27=1,'PT 2 Skill Tables'!N27=1),1,0),IF(PTKEY=4,IF(AND('PT 3 Skill Tables'!O27=1,'PT 3 Skill Tables'!N27=1),1,0),IF(PTKEY=5,IF(AND('PT 4 Skill Tables'!O27=1,'PT 4 Skill Tables'!N27=1),1,0),IF(PTKEY=6,IF(AND('PT 5 Skill Tables'!O27=1,'PT 5 Skill Tables'!N27=1),1,0),IF(PTKEY=7,IF(AND('PT 6 Skill Tables'!O27=1,'PT 6 Skill Tables'!N27=1),1,0),""))))))</f>
        <v>0</v>
      </c>
      <c r="W26" s="93">
        <v>23</v>
      </c>
      <c r="X26" s="93">
        <f>IF(PTKEY=2,IF(AND('PT 1 Skill Tables'!G27=1,'PT 1 Skill Tables'!E27=1),1,0),IF(PTKEY=3,IF(AND('PT 2 Skill Tables'!G27=1,'PT 2 Skill Tables'!E27=1),1,0),IF(PTKEY=4,IF(AND('PT 3 Skill Tables'!G27=1,'PT 3 Skill Tables'!E27=1),1,0),IF(PTKEY=5,IF(AND('PT 4 Skill Tables'!G27=1,'PT 4 Skill Tables'!E27=1),1,0),IF(PTKEY=6,IF(AND('PT 5 Skill Tables'!G27=1,'PT 5 Skill Tables'!E27=1),1,0),IF(PTKEY=7,IF(AND('PT 6 Skill Tables'!G27=1,'PT 6 Skill Tables'!E27=1),1,0),""))))))</f>
        <v>0</v>
      </c>
      <c r="Y26" s="93">
        <f>IF(PTKEY=2,IF(AND('PT 1 Skill Tables'!P27=1,'PT 1 Skill Tables'!N27=1),1,0),IF(PTKEY=3,IF(AND('PT 2 Skill Tables'!P27=1,'PT 2 Skill Tables'!N27=1),1,0),IF(PTKEY=4,IF(AND('PT 3 Skill Tables'!P27=1,'PT 3 Skill Tables'!N27=1),1,0),IF(PTKEY=5,IF(AND('PT 4 Skill Tables'!P27=1,'PT 4 Skill Tables'!N27=1),1,0),IF(PTKEY=6,IF(AND('PT 5 Skill Tables'!P27=1,'PT 5 Skill Tables'!N27=1),1,0),IF(PTKEY=7,IF(AND('PT 6 Skill Tables'!P27=1,'PT 6 Skill Tables'!N27=1),1,0),""))))))</f>
        <v>0</v>
      </c>
      <c r="AA26" s="135">
        <v>23</v>
      </c>
      <c r="AB26" s="93">
        <f>IF(PTKEY=2, IF(AND('PT 1 Skill Tables'!H27=1,'PT 1 Skill Tables'!E27=1), 1, 0), IF(PTKEY=3,IF(AND('PT 2 Skill Tables'!H27=1,'PT 2 Skill Tables'!E27=1), 1, 0),IF(PTKEY=4,IF(AND('PT 3 Skill Tables'!H27=1,'PT 3 Skill Tables'!E27=1), 1, 0), IF(PTKEY=5,IF(AND('PT 4 Skill Tables'!H27=1,'PT 4 Skill Tables'!E27=1), 1, 0),IF(PTKEY=6,IF(AND('PT 5 Skill Tables'!H27=1,'PT 5 Skill Tables'!E27=1),1,0),IF(PTKEY=7,IF(AND('PT 6 Skill Tables'!H27=1,'PT 6 Skill Tables'!E27=1),1,0),""))))))</f>
        <v>0</v>
      </c>
      <c r="AC26" s="93">
        <f>IF(PTKEY=2, IF(AND('PT 1 Skill Tables'!Q27=1,'PT 1 Skill Tables'!N27=1), 1, 0), IF(PTKEY=3,IF(AND('PT 2 Skill Tables'!Q27=1,'PT 2 Skill Tables'!N27=1), 1, 0),IF(PTKEY=4,IF(AND('PT 3 Skill Tables'!Q27=1,'PT 3 Skill Tables'!N27=1), 1, 0), IF(PTKEY=5,IF(AND('PT 4 Skill Tables'!Q27=1,'PT 4 Skill Tables'!N27=1), 1, 0),IF(PTKEY=6,IF(AND('PT 5 Skill Tables'!Q27=1,'PT 5 Skill Tables'!N27=1),1,0),IF(PTKEY=7,IF(AND('PT 6 Skill Tables'!Q27=1,'PT 6 Skill Tables'!N27=1),1,0),""))))))</f>
        <v>0</v>
      </c>
      <c r="AD26" s="93">
        <f>IF(PTKEY=2, IF(AND('PT 1 Skill Tables'!X27=1,'PT 1 Skill Tables'!W27=1), 1, 0), IF(PTKEY=3,IF(AND('PT 2 Skill Tables'!X27=1,'PT 2 Skill Tables'!W27=1), 1, 0),IF(PTKEY=4,IF(AND('PT 3 Skill Tables'!X27=1,'PT 3 Skill Tables'!W27=1), 1, 0),IF(PTKEY=5,IF(AND('PT 4 Skill Tables'!X27=1,'PT 4 Skill Tables'!W27=1), 1, 0),IF(PTKEY=6,IF(AND('PT 5 Skill Tables'!X27=1,'PT 5 Skill Tables'!W27=1),1,0), IF(PTKEY=7,IF(AND('PT 6 Skill Tables'!X27=1,'PT 6 Skill Tables'!W27=1),1,0),""))))))</f>
        <v>0</v>
      </c>
      <c r="AE26" s="93">
        <f>IF(PTKEY=2, IF(AND('PT 1 Skill Tables'!AE27=1,'PT 1 Skill Tables'!AD27=1), 1, 0), IF(PTKEY=3,IF(AND('PT 2 Skill Tables'!AE27=1,'PT 2 Skill Tables'!AD27=1), 1, 0),IF(PTKEY=4,IF(AND('PT 3 Skill Tables'!AE27=1,'PT 3 Skill Tables'!AD27=1), 1, 0),IF(PTKEY=5,IF(AND('PT 4 Skill Tables'!AE27=1,'PT 4 Skill Tables'!AD27=1), 1, 0),IF(PTKEY=6,IF(AND('PT 5 Skill Tables'!AE27=1,'PT 5 Skill Tables'!AD27=1),1,0),IF(PTKEY=7,IF(AND('PT 6 Skill Tables'!AE27=1,'PT 6 Skill Tables'!AD27=1),1,0),""))))))</f>
        <v>0</v>
      </c>
      <c r="AG26" s="93">
        <v>23</v>
      </c>
      <c r="AH26" s="93">
        <f>IF(PTKEY=2, IF(AND('PT 1 Skill Tables'!I27=1,'PT 1 Skill Tables'!E27=1), 1, 0), IF(PTKEY=3,IF(AND('PT 2 Skill Tables'!I27=1,'PT 2 Skill Tables'!E27=1), 1, 0), IF(PTKEY=4,IF(AND('PT 3 Skill Tables'!I27=1,'PT 3 Skill Tables'!E27=1), 1, 0),IF(PTKEY=5,IF(AND('PT 4 Skill Tables'!I27=1,'PT 4 Skill Tables'!E27=1), 1, 0),IF(PTKEY=6,IF(AND('PT 5 Skill Tables'!I27=1,'PT 5 Skill Tables'!E27=1),1,0),IF(PTKEY=7,IF(AND('PT 6 Skill Tables'!I27=1,'PT 6 Skill Tables'!E27=1),1,0),""))))))</f>
        <v>0</v>
      </c>
      <c r="AI26" s="93">
        <f>IF(PTKEY=2,IF(AND('PT 1 Skill Tables'!R27=1,'PT 1 Skill Tables'!N27=1),1,0),IF(PTKEY=3,IF(AND('PT 2 Skill Tables'!R27=1,'PT 2 Skill Tables'!N27=1),1,0),IF(PTKEY=4,IF(AND('PT 3 Skill Tables'!R27=1,'PT 3 Skill Tables'!N27=1),1,0),IF(PTKEY=5,IF(AND('PT 4 Skill Tables'!R27=1,'PT 4 Skill Tables'!N27=1),1,0),IF(PTKEY=6,IF(AND('PT 5 Skill Tables'!R27=1,'PT 5 Skill Tables'!N27=1),1,0),IF(PTKEY=7,IF(AND('PT 6 Skill Tables'!R27=1,'PT 6 Skill Tables'!N27=1),1,0),""))))))</f>
        <v>0</v>
      </c>
      <c r="AJ26" s="93">
        <f>IF(PTKEY=2,IF(AND('PT 1 Skill Tables'!Y27=1,'PT 1 Skill Tables'!W27=1),1,0),IF(PTKEY=3,IF(AND('PT 2 Skill Tables'!Y27=1,'PT 2 Skill Tables'!W27=1),1,0),IF(PTKEY=4,IF(AND('PT 3 Skill Tables'!Y27=1,'PT 3 Skill Tables'!W27=1),1,0),IF(PTKEY=5,IF(AND('PT 4 Skill Tables'!Y27=1,'PT 4 Skill Tables'!W27=1),1,0),IF(PTKEY=6,IF(AND('PT 5 Skill Tables'!Y27=1,'PT 5 Skill Tables'!W27=1),1,0),IF(PTKEY=7,IF(AND('PT 6 Skill Tables'!Y27=1,'PT 6 Skill Tables'!W27=1),1,0),""))))))</f>
        <v>0</v>
      </c>
      <c r="AK26" s="93">
        <f>IF(PTKEY=2,IF(AND('PT 1 Skill Tables'!AF27=1,'PT 1 Skill Tables'!AD27=1),1,0),IF(PTKEY=3,IF(AND('PT 2 Skill Tables'!AF27=1,'PT 2 Skill Tables'!AD27=1),1,0),IF(PTKEY=4,IF(AND('PT 3 Skill Tables'!AF27=1,'PT 3 Skill Tables'!AD27=1),1,0),IF(PTKEY=5,IF(AND('PT 4 Skill Tables'!AF27=1,'PT 4 Skill Tables'!AD27=1),1,0),IF(PTKEY=6,IF(AND('PT 5 Skill Tables'!AF27=1,'PT 5 Skill Tables'!AD27=1),1,0),IF(PTKEY=7,IF(AND('PT 6 Skill Tables'!AF27=1,'PT 6 Skill Tables'!AD27=1),1,0),""))))))</f>
        <v>0</v>
      </c>
    </row>
    <row r="27" spans="7:37">
      <c r="G27" s="158">
        <v>24</v>
      </c>
      <c r="H27" s="159">
        <f>IF(Input!C33=(VLOOKUP(Input!B33,Table2[#All],PTKEY,TRUE)), 1, 0)</f>
        <v>0</v>
      </c>
      <c r="J27" s="158">
        <v>24</v>
      </c>
      <c r="K27" s="159">
        <f>IF(Input!E33=(VLOOKUP(Input!D33,Table3[#All],PTKEY,TRUE)), 1, 0)</f>
        <v>0</v>
      </c>
      <c r="P27" s="158">
        <v>24</v>
      </c>
      <c r="Q27" s="159">
        <f>IF(Input!I33=(VLOOKUP(Input!H33,Table5[#All],PTKEY,TRUE)), 1, 0)</f>
        <v>0</v>
      </c>
      <c r="S27" s="93">
        <v>24</v>
      </c>
      <c r="T27" s="93">
        <f>IF(PTKEY=2,IF(AND('PT 1 Skill Tables'!F28=1,'PT 1 Skill Tables'!E28=1),1,0),IF(PTKEY=3,IF(AND('PT 2 Skill Tables'!F28=1,'PT 2 Skill Tables'!E28=1),1,0),IF(PTKEY=4,IF(AND('PT 3 Skill Tables'!F28=1,'PT 3 Skill Tables'!E28=1),1,0),IF(PTKEY=5,IF(AND('PT 4 Skill Tables'!F28=1,'PT 4 Skill Tables'!E28=1),1,0),IF(PTKEY=6,IF(AND('PT 5 Skill Tables'!F28=1,'PT 5 Skill Tables'!E28=1),1,0),IF(PTKEY=7,IF(AND('PT 6 Skill Tables'!F28=1,'PT 6 Skill Tables'!E28=1),1,0),""))))))</f>
        <v>0</v>
      </c>
      <c r="U27" s="93">
        <f>IF(PTKEY=2,IF(AND('PT 1 Skill Tables'!O28=1,'PT 1 Skill Tables'!N28=1),1,0),IF(PTKEY=3,IF(AND('PT 2 Skill Tables'!O28=1,'PT 2 Skill Tables'!N28=1),1,0),IF(PTKEY=4,IF(AND('PT 3 Skill Tables'!O28=1,'PT 3 Skill Tables'!N28=1),1,0),IF(PTKEY=5,IF(AND('PT 4 Skill Tables'!O28=1,'PT 4 Skill Tables'!N28=1),1,0),IF(PTKEY=6,IF(AND('PT 5 Skill Tables'!O28=1,'PT 5 Skill Tables'!N28=1),1,0),IF(PTKEY=7,IF(AND('PT 6 Skill Tables'!O28=1,'PT 6 Skill Tables'!N28=1),1,0),""))))))</f>
        <v>0</v>
      </c>
      <c r="W27" s="93">
        <v>24</v>
      </c>
      <c r="X27" s="93">
        <f>IF(PTKEY=2,IF(AND('PT 1 Skill Tables'!G28=1,'PT 1 Skill Tables'!E28=1),1,0),IF(PTKEY=3,IF(AND('PT 2 Skill Tables'!G28=1,'PT 2 Skill Tables'!E28=1),1,0),IF(PTKEY=4,IF(AND('PT 3 Skill Tables'!G28=1,'PT 3 Skill Tables'!E28=1),1,0),IF(PTKEY=5,IF(AND('PT 4 Skill Tables'!G28=1,'PT 4 Skill Tables'!E28=1),1,0),IF(PTKEY=6,IF(AND('PT 5 Skill Tables'!G28=1,'PT 5 Skill Tables'!E28=1),1,0),IF(PTKEY=7,IF(AND('PT 6 Skill Tables'!G28=1,'PT 6 Skill Tables'!E28=1),1,0),""))))))</f>
        <v>0</v>
      </c>
      <c r="Y27" s="93">
        <f>IF(PTKEY=2,IF(AND('PT 1 Skill Tables'!P28=1,'PT 1 Skill Tables'!N28=1),1,0),IF(PTKEY=3,IF(AND('PT 2 Skill Tables'!P28=1,'PT 2 Skill Tables'!N28=1),1,0),IF(PTKEY=4,IF(AND('PT 3 Skill Tables'!P28=1,'PT 3 Skill Tables'!N28=1),1,0),IF(PTKEY=5,IF(AND('PT 4 Skill Tables'!P28=1,'PT 4 Skill Tables'!N28=1),1,0),IF(PTKEY=6,IF(AND('PT 5 Skill Tables'!P28=1,'PT 5 Skill Tables'!N28=1),1,0),IF(PTKEY=7,IF(AND('PT 6 Skill Tables'!P28=1,'PT 6 Skill Tables'!N28=1),1,0),""))))))</f>
        <v>0</v>
      </c>
      <c r="AA27" s="136">
        <v>24</v>
      </c>
      <c r="AB27" s="93">
        <f>IF(PTKEY=2, IF(AND('PT 1 Skill Tables'!H28=1,'PT 1 Skill Tables'!E28=1), 1, 0), IF(PTKEY=3,IF(AND('PT 2 Skill Tables'!H28=1,'PT 2 Skill Tables'!E28=1), 1, 0),IF(PTKEY=4,IF(AND('PT 3 Skill Tables'!H28=1,'PT 3 Skill Tables'!E28=1), 1, 0), IF(PTKEY=5,IF(AND('PT 4 Skill Tables'!H28=1,'PT 4 Skill Tables'!E28=1), 1, 0),IF(PTKEY=6,IF(AND('PT 5 Skill Tables'!H28=1,'PT 5 Skill Tables'!E28=1),1,0),IF(PTKEY=7,IF(AND('PT 6 Skill Tables'!H28=1,'PT 6 Skill Tables'!E28=1),1,0),""))))))</f>
        <v>0</v>
      </c>
      <c r="AC27" s="93">
        <f>IF(PTKEY=2, IF(AND('PT 1 Skill Tables'!Q28=1,'PT 1 Skill Tables'!N28=1), 1, 0), IF(PTKEY=3,IF(AND('PT 2 Skill Tables'!Q28=1,'PT 2 Skill Tables'!N28=1), 1, 0),IF(PTKEY=4,IF(AND('PT 3 Skill Tables'!Q28=1,'PT 3 Skill Tables'!N28=1), 1, 0), IF(PTKEY=5,IF(AND('PT 4 Skill Tables'!Q28=1,'PT 4 Skill Tables'!N28=1), 1, 0),IF(PTKEY=6,IF(AND('PT 5 Skill Tables'!Q28=1,'PT 5 Skill Tables'!N28=1),1,0),IF(PTKEY=7,IF(AND('PT 6 Skill Tables'!Q28=1,'PT 6 Skill Tables'!N28=1),1,0),""))))))</f>
        <v>0</v>
      </c>
      <c r="AD27" s="93">
        <f>IF(PTKEY=2, IF(AND('PT 1 Skill Tables'!X28=1,'PT 1 Skill Tables'!W28=1), 1, 0), IF(PTKEY=3,IF(AND('PT 2 Skill Tables'!X28=1,'PT 2 Skill Tables'!W28=1), 1, 0),IF(PTKEY=4,IF(AND('PT 3 Skill Tables'!X28=1,'PT 3 Skill Tables'!W28=1), 1, 0),IF(PTKEY=5,IF(AND('PT 4 Skill Tables'!X28=1,'PT 4 Skill Tables'!W28=1), 1, 0),IF(PTKEY=6,IF(AND('PT 5 Skill Tables'!X28=1,'PT 5 Skill Tables'!W28=1),1,0), IF(PTKEY=7,IF(AND('PT 6 Skill Tables'!X28=1,'PT 6 Skill Tables'!W28=1),1,0),""))))))</f>
        <v>0</v>
      </c>
      <c r="AE27" s="93">
        <f>IF(PTKEY=2, IF(AND('PT 1 Skill Tables'!AE28=1,'PT 1 Skill Tables'!AD28=1), 1, 0), IF(PTKEY=3,IF(AND('PT 2 Skill Tables'!AE28=1,'PT 2 Skill Tables'!AD28=1), 1, 0),IF(PTKEY=4,IF(AND('PT 3 Skill Tables'!AE28=1,'PT 3 Skill Tables'!AD28=1), 1, 0),IF(PTKEY=5,IF(AND('PT 4 Skill Tables'!AE28=1,'PT 4 Skill Tables'!AD28=1), 1, 0),IF(PTKEY=6,IF(AND('PT 5 Skill Tables'!AE28=1,'PT 5 Skill Tables'!AD28=1),1,0),IF(PTKEY=7,IF(AND('PT 6 Skill Tables'!AE28=1,'PT 6 Skill Tables'!AD28=1),1,0),""))))))</f>
        <v>0</v>
      </c>
      <c r="AG27" s="93">
        <v>24</v>
      </c>
      <c r="AH27" s="93">
        <f>IF(PTKEY=2, IF(AND('PT 1 Skill Tables'!I28=1,'PT 1 Skill Tables'!E28=1), 1, 0), IF(PTKEY=3,IF(AND('PT 2 Skill Tables'!I28=1,'PT 2 Skill Tables'!E28=1), 1, 0), IF(PTKEY=4,IF(AND('PT 3 Skill Tables'!I28=1,'PT 3 Skill Tables'!E28=1), 1, 0),IF(PTKEY=5,IF(AND('PT 4 Skill Tables'!I28=1,'PT 4 Skill Tables'!E28=1), 1, 0),IF(PTKEY=6,IF(AND('PT 5 Skill Tables'!I28=1,'PT 5 Skill Tables'!E28=1),1,0),IF(PTKEY=7,IF(AND('PT 6 Skill Tables'!I28=1,'PT 6 Skill Tables'!E28=1),1,0),""))))))</f>
        <v>0</v>
      </c>
      <c r="AI27" s="93">
        <f>IF(PTKEY=2,IF(AND('PT 1 Skill Tables'!R28=1,'PT 1 Skill Tables'!N28=1),1,0),IF(PTKEY=3,IF(AND('PT 2 Skill Tables'!R28=1,'PT 2 Skill Tables'!N28=1),1,0),IF(PTKEY=4,IF(AND('PT 3 Skill Tables'!R28=1,'PT 3 Skill Tables'!N28=1),1,0),IF(PTKEY=5,IF(AND('PT 4 Skill Tables'!R28=1,'PT 4 Skill Tables'!N28=1),1,0),IF(PTKEY=6,IF(AND('PT 5 Skill Tables'!R28=1,'PT 5 Skill Tables'!N28=1),1,0),IF(PTKEY=7,IF(AND('PT 6 Skill Tables'!R28=1,'PT 6 Skill Tables'!N28=1),1,0),""))))))</f>
        <v>0</v>
      </c>
      <c r="AJ27" s="93">
        <f>IF(PTKEY=2,IF(AND('PT 1 Skill Tables'!Y28=1,'PT 1 Skill Tables'!W28=1),1,0),IF(PTKEY=3,IF(AND('PT 2 Skill Tables'!Y28=1,'PT 2 Skill Tables'!W28=1),1,0),IF(PTKEY=4,IF(AND('PT 3 Skill Tables'!Y28=1,'PT 3 Skill Tables'!W28=1),1,0),IF(PTKEY=5,IF(AND('PT 4 Skill Tables'!Y28=1,'PT 4 Skill Tables'!W28=1),1,0),IF(PTKEY=6,IF(AND('PT 5 Skill Tables'!Y28=1,'PT 5 Skill Tables'!W28=1),1,0),IF(PTKEY=7,IF(AND('PT 6 Skill Tables'!Y28=1,'PT 6 Skill Tables'!W28=1),1,0),""))))))</f>
        <v>0</v>
      </c>
      <c r="AK27" s="93">
        <f>IF(PTKEY=2,IF(AND('PT 1 Skill Tables'!AF28=1,'PT 1 Skill Tables'!AD28=1),1,0),IF(PTKEY=3,IF(AND('PT 2 Skill Tables'!AF28=1,'PT 2 Skill Tables'!AD28=1),1,0),IF(PTKEY=4,IF(AND('PT 3 Skill Tables'!AF28=1,'PT 3 Skill Tables'!AD28=1),1,0),IF(PTKEY=5,IF(AND('PT 4 Skill Tables'!AF28=1,'PT 4 Skill Tables'!AD28=1),1,0),IF(PTKEY=6,IF(AND('PT 5 Skill Tables'!AF28=1,'PT 5 Skill Tables'!AD28=1),1,0),IF(PTKEY=7,IF(AND('PT 6 Skill Tables'!AF28=1,'PT 6 Skill Tables'!AD28=1),1,0),""))))))</f>
        <v>0</v>
      </c>
    </row>
    <row r="28" spans="7:37">
      <c r="G28" s="160">
        <v>25</v>
      </c>
      <c r="H28" s="159">
        <f>IF(Input!C34=(VLOOKUP(Input!B34,Table2[#All],PTKEY,TRUE)), 1, 0)</f>
        <v>0</v>
      </c>
      <c r="J28" s="160">
        <v>25</v>
      </c>
      <c r="K28" s="159">
        <f>IF(Input!E34=(VLOOKUP(Input!D34,Table3[#All],PTKEY,TRUE)), 1, 0)</f>
        <v>0</v>
      </c>
      <c r="P28" s="160">
        <v>25</v>
      </c>
      <c r="Q28" s="159">
        <f>IF(Input!I34=(VLOOKUP(Input!H34,Table5[#All],PTKEY,TRUE)), 1, 0)</f>
        <v>0</v>
      </c>
      <c r="S28" s="93">
        <v>25</v>
      </c>
      <c r="T28" s="93">
        <f>IF(PTKEY=2,IF(AND('PT 1 Skill Tables'!F29=1,'PT 1 Skill Tables'!E29=1),1,0),IF(PTKEY=3,IF(AND('PT 2 Skill Tables'!F29=1,'PT 2 Skill Tables'!E29=1),1,0),IF(PTKEY=4,IF(AND('PT 3 Skill Tables'!F29=1,'PT 3 Skill Tables'!E29=1),1,0),IF(PTKEY=5,IF(AND('PT 4 Skill Tables'!F29=1,'PT 4 Skill Tables'!E29=1),1,0),IF(PTKEY=6,IF(AND('PT 5 Skill Tables'!F29=1,'PT 5 Skill Tables'!E29=1),1,0),IF(PTKEY=7,IF(AND('PT 6 Skill Tables'!F29=1,'PT 6 Skill Tables'!E29=1),1,0),""))))))</f>
        <v>0</v>
      </c>
      <c r="U28" s="93">
        <f>IF(PTKEY=2,IF(AND('PT 1 Skill Tables'!O29=1,'PT 1 Skill Tables'!N29=1),1,0),IF(PTKEY=3,IF(AND('PT 2 Skill Tables'!O29=1,'PT 2 Skill Tables'!N29=1),1,0),IF(PTKEY=4,IF(AND('PT 3 Skill Tables'!O29=1,'PT 3 Skill Tables'!N29=1),1,0),IF(PTKEY=5,IF(AND('PT 4 Skill Tables'!O29=1,'PT 4 Skill Tables'!N29=1),1,0),IF(PTKEY=6,IF(AND('PT 5 Skill Tables'!O29=1,'PT 5 Skill Tables'!N29=1),1,0),IF(PTKEY=7,IF(AND('PT 6 Skill Tables'!O29=1,'PT 6 Skill Tables'!N29=1),1,0),""))))))</f>
        <v>0</v>
      </c>
      <c r="W28" s="93">
        <v>25</v>
      </c>
      <c r="X28" s="93">
        <f>IF(PTKEY=2,IF(AND('PT 1 Skill Tables'!G29=1,'PT 1 Skill Tables'!E29=1),1,0),IF(PTKEY=3,IF(AND('PT 2 Skill Tables'!G29=1,'PT 2 Skill Tables'!E29=1),1,0),IF(PTKEY=4,IF(AND('PT 3 Skill Tables'!G29=1,'PT 3 Skill Tables'!E29=1),1,0),IF(PTKEY=5,IF(AND('PT 4 Skill Tables'!G29=1,'PT 4 Skill Tables'!E29=1),1,0),IF(PTKEY=6,IF(AND('PT 5 Skill Tables'!G29=1,'PT 5 Skill Tables'!E29=1),1,0),IF(PTKEY=7,IF(AND('PT 6 Skill Tables'!G29=1,'PT 6 Skill Tables'!E29=1),1,0),""))))))</f>
        <v>0</v>
      </c>
      <c r="Y28" s="93">
        <f>IF(PTKEY=2,IF(AND('PT 1 Skill Tables'!P29=1,'PT 1 Skill Tables'!N29=1),1,0),IF(PTKEY=3,IF(AND('PT 2 Skill Tables'!P29=1,'PT 2 Skill Tables'!N29=1),1,0),IF(PTKEY=4,IF(AND('PT 3 Skill Tables'!P29=1,'PT 3 Skill Tables'!N29=1),1,0),IF(PTKEY=5,IF(AND('PT 4 Skill Tables'!P29=1,'PT 4 Skill Tables'!N29=1),1,0),IF(PTKEY=6,IF(AND('PT 5 Skill Tables'!P29=1,'PT 5 Skill Tables'!N29=1),1,0),IF(PTKEY=7,IF(AND('PT 6 Skill Tables'!P29=1,'PT 6 Skill Tables'!N29=1),1,0),""))))))</f>
        <v>0</v>
      </c>
      <c r="AA28" s="135">
        <v>25</v>
      </c>
      <c r="AB28" s="93">
        <f>IF(PTKEY=2, IF(AND('PT 1 Skill Tables'!H29=1,'PT 1 Skill Tables'!E29=1), 1, 0), IF(PTKEY=3,IF(AND('PT 2 Skill Tables'!H29=1,'PT 2 Skill Tables'!E29=1), 1, 0),IF(PTKEY=4,IF(AND('PT 3 Skill Tables'!H29=1,'PT 3 Skill Tables'!E29=1), 1, 0), IF(PTKEY=5,IF(AND('PT 4 Skill Tables'!H29=1,'PT 4 Skill Tables'!E29=1), 1, 0),IF(PTKEY=6,IF(AND('PT 5 Skill Tables'!H29=1,'PT 5 Skill Tables'!E29=1),1,0),IF(PTKEY=7,IF(AND('PT 6 Skill Tables'!H29=1,'PT 6 Skill Tables'!E29=1),1,0),""))))))</f>
        <v>0</v>
      </c>
      <c r="AC28" s="93">
        <f>IF(PTKEY=2, IF(AND('PT 1 Skill Tables'!Q29=1,'PT 1 Skill Tables'!N29=1), 1, 0), IF(PTKEY=3,IF(AND('PT 2 Skill Tables'!Q29=1,'PT 2 Skill Tables'!N29=1), 1, 0),IF(PTKEY=4,IF(AND('PT 3 Skill Tables'!Q29=1,'PT 3 Skill Tables'!N29=1), 1, 0), IF(PTKEY=5,IF(AND('PT 4 Skill Tables'!Q29=1,'PT 4 Skill Tables'!N29=1), 1, 0),IF(PTKEY=6,IF(AND('PT 5 Skill Tables'!Q29=1,'PT 5 Skill Tables'!N29=1),1,0),IF(PTKEY=7,IF(AND('PT 6 Skill Tables'!Q29=1,'PT 6 Skill Tables'!N29=1),1,0),""))))))</f>
        <v>0</v>
      </c>
      <c r="AD28" s="93">
        <f>IF(PTKEY=2, IF(AND('PT 1 Skill Tables'!X29=1,'PT 1 Skill Tables'!W29=1), 1, 0), IF(PTKEY=3,IF(AND('PT 2 Skill Tables'!X29=1,'PT 2 Skill Tables'!W29=1), 1, 0),IF(PTKEY=4,IF(AND('PT 3 Skill Tables'!X29=1,'PT 3 Skill Tables'!W29=1), 1, 0),IF(PTKEY=5,IF(AND('PT 4 Skill Tables'!X29=1,'PT 4 Skill Tables'!W29=1), 1, 0),IF(PTKEY=6,IF(AND('PT 5 Skill Tables'!X29=1,'PT 5 Skill Tables'!W29=1),1,0), IF(PTKEY=7,IF(AND('PT 6 Skill Tables'!X29=1,'PT 6 Skill Tables'!W29=1),1,0),""))))))</f>
        <v>0</v>
      </c>
      <c r="AE28" s="93">
        <f>IF(PTKEY=2, IF(AND('PT 1 Skill Tables'!AE29=1,'PT 1 Skill Tables'!AD29=1), 1, 0), IF(PTKEY=3,IF(AND('PT 2 Skill Tables'!AE29=1,'PT 2 Skill Tables'!AD29=1), 1, 0),IF(PTKEY=4,IF(AND('PT 3 Skill Tables'!AE29=1,'PT 3 Skill Tables'!AD29=1), 1, 0),IF(PTKEY=5,IF(AND('PT 4 Skill Tables'!AE29=1,'PT 4 Skill Tables'!AD29=1), 1, 0),IF(PTKEY=6,IF(AND('PT 5 Skill Tables'!AE29=1,'PT 5 Skill Tables'!AD29=1),1,0),IF(PTKEY=7,IF(AND('PT 6 Skill Tables'!AE29=1,'PT 6 Skill Tables'!AD29=1),1,0),""))))))</f>
        <v>0</v>
      </c>
      <c r="AG28" s="93">
        <v>25</v>
      </c>
      <c r="AH28" s="93">
        <f>IF(PTKEY=2, IF(AND('PT 1 Skill Tables'!I29=1,'PT 1 Skill Tables'!E29=1), 1, 0), IF(PTKEY=3,IF(AND('PT 2 Skill Tables'!I29=1,'PT 2 Skill Tables'!E29=1), 1, 0), IF(PTKEY=4,IF(AND('PT 3 Skill Tables'!I29=1,'PT 3 Skill Tables'!E29=1), 1, 0),IF(PTKEY=5,IF(AND('PT 4 Skill Tables'!I29=1,'PT 4 Skill Tables'!E29=1), 1, 0),IF(PTKEY=6,IF(AND('PT 5 Skill Tables'!I29=1,'PT 5 Skill Tables'!E29=1),1,0),IF(PTKEY=7,IF(AND('PT 6 Skill Tables'!I29=1,'PT 6 Skill Tables'!E29=1),1,0),""))))))</f>
        <v>0</v>
      </c>
      <c r="AI28" s="93">
        <f>IF(PTKEY=2,IF(AND('PT 1 Skill Tables'!R29=1,'PT 1 Skill Tables'!N29=1),1,0),IF(PTKEY=3,IF(AND('PT 2 Skill Tables'!R29=1,'PT 2 Skill Tables'!N29=1),1,0),IF(PTKEY=4,IF(AND('PT 3 Skill Tables'!R29=1,'PT 3 Skill Tables'!N29=1),1,0),IF(PTKEY=5,IF(AND('PT 4 Skill Tables'!R29=1,'PT 4 Skill Tables'!N29=1),1,0),IF(PTKEY=6,IF(AND('PT 5 Skill Tables'!R29=1,'PT 5 Skill Tables'!N29=1),1,0),IF(PTKEY=7,IF(AND('PT 6 Skill Tables'!R29=1,'PT 6 Skill Tables'!N29=1),1,0),""))))))</f>
        <v>0</v>
      </c>
      <c r="AJ28" s="93">
        <f>IF(PTKEY=2,IF(AND('PT 1 Skill Tables'!Y29=1,'PT 1 Skill Tables'!W29=1),1,0),IF(PTKEY=3,IF(AND('PT 2 Skill Tables'!Y29=1,'PT 2 Skill Tables'!W29=1),1,0),IF(PTKEY=4,IF(AND('PT 3 Skill Tables'!Y29=1,'PT 3 Skill Tables'!W29=1),1,0),IF(PTKEY=5,IF(AND('PT 4 Skill Tables'!Y29=1,'PT 4 Skill Tables'!W29=1),1,0),IF(PTKEY=6,IF(AND('PT 5 Skill Tables'!Y29=1,'PT 5 Skill Tables'!W29=1),1,0),IF(PTKEY=7,IF(AND('PT 6 Skill Tables'!Y29=1,'PT 6 Skill Tables'!W29=1),1,0),""))))))</f>
        <v>0</v>
      </c>
      <c r="AK28" s="93">
        <f>IF(PTKEY=2,IF(AND('PT 1 Skill Tables'!AF29=1,'PT 1 Skill Tables'!AD29=1),1,0),IF(PTKEY=3,IF(AND('PT 2 Skill Tables'!AF29=1,'PT 2 Skill Tables'!AD29=1),1,0),IF(PTKEY=4,IF(AND('PT 3 Skill Tables'!AF29=1,'PT 3 Skill Tables'!AD29=1),1,0),IF(PTKEY=5,IF(AND('PT 4 Skill Tables'!AF29=1,'PT 4 Skill Tables'!AD29=1),1,0),IF(PTKEY=6,IF(AND('PT 5 Skill Tables'!AF29=1,'PT 5 Skill Tables'!AD29=1),1,0),IF(PTKEY=7,IF(AND('PT 6 Skill Tables'!AF29=1,'PT 6 Skill Tables'!AD29=1),1,0),""))))))</f>
        <v>0</v>
      </c>
    </row>
    <row r="29" spans="7:37">
      <c r="G29" s="158">
        <v>26</v>
      </c>
      <c r="H29" s="159">
        <f>IF(Input!C35=(VLOOKUP(Input!B35,Table2[#All],PTKEY,TRUE)), 1, 0)</f>
        <v>0</v>
      </c>
      <c r="J29" s="158">
        <v>26</v>
      </c>
      <c r="K29" s="159">
        <f>IF(Input!E35=(VLOOKUP(Input!D35,Table3[#All],PTKEY,TRUE)), 1, 0)</f>
        <v>0</v>
      </c>
      <c r="P29" s="158">
        <v>26</v>
      </c>
      <c r="Q29" s="159">
        <f>IF(Input!I35=(VLOOKUP(Input!H35,Table5[#All],PTKEY,TRUE)), 1, 0)</f>
        <v>0</v>
      </c>
      <c r="S29" s="93">
        <v>26</v>
      </c>
      <c r="T29" s="93">
        <f>IF(PTKEY=2,IF(AND('PT 1 Skill Tables'!F30=1,'PT 1 Skill Tables'!E30=1),1,0),IF(PTKEY=3,IF(AND('PT 2 Skill Tables'!F30=1,'PT 2 Skill Tables'!E30=1),1,0),IF(PTKEY=4,IF(AND('PT 3 Skill Tables'!F30=1,'PT 3 Skill Tables'!E30=1),1,0),IF(PTKEY=5,IF(AND('PT 4 Skill Tables'!F30=1,'PT 4 Skill Tables'!E30=1),1,0),IF(PTKEY=6,IF(AND('PT 5 Skill Tables'!F30=1,'PT 5 Skill Tables'!E30=1),1,0),IF(PTKEY=7,IF(AND('PT 6 Skill Tables'!F30=1,'PT 6 Skill Tables'!E30=1),1,0),""))))))</f>
        <v>0</v>
      </c>
      <c r="U29" s="93">
        <f>IF(PTKEY=2,IF(AND('PT 1 Skill Tables'!O30=1,'PT 1 Skill Tables'!N30=1),1,0),IF(PTKEY=3,IF(AND('PT 2 Skill Tables'!O30=1,'PT 2 Skill Tables'!N30=1),1,0),IF(PTKEY=4,IF(AND('PT 3 Skill Tables'!O30=1,'PT 3 Skill Tables'!N30=1),1,0),IF(PTKEY=5,IF(AND('PT 4 Skill Tables'!O30=1,'PT 4 Skill Tables'!N30=1),1,0),IF(PTKEY=6,IF(AND('PT 5 Skill Tables'!O30=1,'PT 5 Skill Tables'!N30=1),1,0),IF(PTKEY=7,IF(AND('PT 6 Skill Tables'!O30=1,'PT 6 Skill Tables'!N30=1),1,0),""))))))</f>
        <v>0</v>
      </c>
      <c r="W29" s="93">
        <v>26</v>
      </c>
      <c r="X29" s="93">
        <f>IF(PTKEY=2,IF(AND('PT 1 Skill Tables'!G30=1,'PT 1 Skill Tables'!E30=1),1,0),IF(PTKEY=3,IF(AND('PT 2 Skill Tables'!G30=1,'PT 2 Skill Tables'!E30=1),1,0),IF(PTKEY=4,IF(AND('PT 3 Skill Tables'!G30=1,'PT 3 Skill Tables'!E30=1),1,0),IF(PTKEY=5,IF(AND('PT 4 Skill Tables'!G30=1,'PT 4 Skill Tables'!E30=1),1,0),IF(PTKEY=6,IF(AND('PT 5 Skill Tables'!G30=1,'PT 5 Skill Tables'!E30=1),1,0),IF(PTKEY=7,IF(AND('PT 6 Skill Tables'!G30=1,'PT 6 Skill Tables'!E30=1),1,0),""))))))</f>
        <v>0</v>
      </c>
      <c r="Y29" s="93">
        <f>IF(PTKEY=2,IF(AND('PT 1 Skill Tables'!P30=1,'PT 1 Skill Tables'!N30=1),1,0),IF(PTKEY=3,IF(AND('PT 2 Skill Tables'!P30=1,'PT 2 Skill Tables'!N30=1),1,0),IF(PTKEY=4,IF(AND('PT 3 Skill Tables'!P30=1,'PT 3 Skill Tables'!N30=1),1,0),IF(PTKEY=5,IF(AND('PT 4 Skill Tables'!P30=1,'PT 4 Skill Tables'!N30=1),1,0),IF(PTKEY=6,IF(AND('PT 5 Skill Tables'!P30=1,'PT 5 Skill Tables'!N30=1),1,0),IF(PTKEY=7,IF(AND('PT 6 Skill Tables'!P30=1,'PT 6 Skill Tables'!N30=1),1,0),""))))))</f>
        <v>0</v>
      </c>
      <c r="AA29" s="136">
        <v>26</v>
      </c>
      <c r="AB29" s="93">
        <f>IF(PTKEY=2, IF(AND('PT 1 Skill Tables'!H30=1,'PT 1 Skill Tables'!E30=1), 1, 0), IF(PTKEY=3,IF(AND('PT 2 Skill Tables'!H30=1,'PT 2 Skill Tables'!E30=1), 1, 0),IF(PTKEY=4,IF(AND('PT 3 Skill Tables'!H30=1,'PT 3 Skill Tables'!E30=1), 1, 0), IF(PTKEY=5,IF(AND('PT 4 Skill Tables'!H30=1,'PT 4 Skill Tables'!E30=1), 1, 0),IF(PTKEY=6,IF(AND('PT 5 Skill Tables'!H30=1,'PT 5 Skill Tables'!E30=1),1,0),IF(PTKEY=7,IF(AND('PT 6 Skill Tables'!H30=1,'PT 6 Skill Tables'!E30=1),1,0),""))))))</f>
        <v>0</v>
      </c>
      <c r="AC29" s="93">
        <f>IF(PTKEY=2, IF(AND('PT 1 Skill Tables'!Q30=1,'PT 1 Skill Tables'!N30=1), 1, 0), IF(PTKEY=3,IF(AND('PT 2 Skill Tables'!Q30=1,'PT 2 Skill Tables'!N30=1), 1, 0),IF(PTKEY=4,IF(AND('PT 3 Skill Tables'!Q30=1,'PT 3 Skill Tables'!N30=1), 1, 0), IF(PTKEY=5,IF(AND('PT 4 Skill Tables'!Q30=1,'PT 4 Skill Tables'!N30=1), 1, 0),IF(PTKEY=6,IF(AND('PT 5 Skill Tables'!Q30=1,'PT 5 Skill Tables'!N30=1),1,0),IF(PTKEY=7,IF(AND('PT 6 Skill Tables'!Q30=1,'PT 6 Skill Tables'!N30=1),1,0),""))))))</f>
        <v>0</v>
      </c>
      <c r="AD29" s="93">
        <f>IF(PTKEY=2, IF(AND('PT 1 Skill Tables'!X30=1,'PT 1 Skill Tables'!W30=1), 1, 0), IF(PTKEY=3,IF(AND('PT 2 Skill Tables'!X30=1,'PT 2 Skill Tables'!W30=1), 1, 0),IF(PTKEY=4,IF(AND('PT 3 Skill Tables'!X30=1,'PT 3 Skill Tables'!W30=1), 1, 0),IF(PTKEY=5,IF(AND('PT 4 Skill Tables'!X30=1,'PT 4 Skill Tables'!W30=1), 1, 0),IF(PTKEY=6,IF(AND('PT 5 Skill Tables'!X30=1,'PT 5 Skill Tables'!W30=1),1,0), IF(PTKEY=7,IF(AND('PT 6 Skill Tables'!X30=1,'PT 6 Skill Tables'!W30=1),1,0),""))))))</f>
        <v>0</v>
      </c>
      <c r="AE29" s="93">
        <f>IF(PTKEY=2, IF(AND('PT 1 Skill Tables'!AE30=1,'PT 1 Skill Tables'!AD30=1), 1, 0), IF(PTKEY=3,IF(AND('PT 2 Skill Tables'!AE30=1,'PT 2 Skill Tables'!AD30=1), 1, 0),IF(PTKEY=4,IF(AND('PT 3 Skill Tables'!AE30=1,'PT 3 Skill Tables'!AD30=1), 1, 0),IF(PTKEY=5,IF(AND('PT 4 Skill Tables'!AE30=1,'PT 4 Skill Tables'!AD30=1), 1, 0),IF(PTKEY=6,IF(AND('PT 5 Skill Tables'!AE30=1,'PT 5 Skill Tables'!AD30=1),1,0),IF(PTKEY=7,IF(AND('PT 6 Skill Tables'!AE30=1,'PT 6 Skill Tables'!AD30=1),1,0),""))))))</f>
        <v>0</v>
      </c>
      <c r="AG29" s="93">
        <v>26</v>
      </c>
      <c r="AH29" s="93">
        <f>IF(PTKEY=2, IF(AND('PT 1 Skill Tables'!I30=1,'PT 1 Skill Tables'!E30=1), 1, 0), IF(PTKEY=3,IF(AND('PT 2 Skill Tables'!I30=1,'PT 2 Skill Tables'!E30=1), 1, 0), IF(PTKEY=4,IF(AND('PT 3 Skill Tables'!I30=1,'PT 3 Skill Tables'!E30=1), 1, 0),IF(PTKEY=5,IF(AND('PT 4 Skill Tables'!I30=1,'PT 4 Skill Tables'!E30=1), 1, 0),IF(PTKEY=6,IF(AND('PT 5 Skill Tables'!I30=1,'PT 5 Skill Tables'!E30=1),1,0),IF(PTKEY=7,IF(AND('PT 6 Skill Tables'!I30=1,'PT 6 Skill Tables'!E30=1),1,0),""))))))</f>
        <v>0</v>
      </c>
      <c r="AI29" s="93">
        <f>IF(PTKEY=2,IF(AND('PT 1 Skill Tables'!R30=1,'PT 1 Skill Tables'!N30=1),1,0),IF(PTKEY=3,IF(AND('PT 2 Skill Tables'!R30=1,'PT 2 Skill Tables'!N30=1),1,0),IF(PTKEY=4,IF(AND('PT 3 Skill Tables'!R30=1,'PT 3 Skill Tables'!N30=1),1,0),IF(PTKEY=5,IF(AND('PT 4 Skill Tables'!R30=1,'PT 4 Skill Tables'!N30=1),1,0),IF(PTKEY=6,IF(AND('PT 5 Skill Tables'!R30=1,'PT 5 Skill Tables'!N30=1),1,0),IF(PTKEY=7,IF(AND('PT 6 Skill Tables'!R30=1,'PT 6 Skill Tables'!N30=1),1,0),""))))))</f>
        <v>0</v>
      </c>
      <c r="AJ29" s="93">
        <f>IF(PTKEY=2,IF(AND('PT 1 Skill Tables'!Y30=1,'PT 1 Skill Tables'!W30=1),1,0),IF(PTKEY=3,IF(AND('PT 2 Skill Tables'!Y30=1,'PT 2 Skill Tables'!W30=1),1,0),IF(PTKEY=4,IF(AND('PT 3 Skill Tables'!Y30=1,'PT 3 Skill Tables'!W30=1),1,0),IF(PTKEY=5,IF(AND('PT 4 Skill Tables'!Y30=1,'PT 4 Skill Tables'!W30=1),1,0),IF(PTKEY=6,IF(AND('PT 5 Skill Tables'!Y30=1,'PT 5 Skill Tables'!W30=1),1,0),IF(PTKEY=7,IF(AND('PT 6 Skill Tables'!Y30=1,'PT 6 Skill Tables'!W30=1),1,0),""))))))</f>
        <v>0</v>
      </c>
      <c r="AK29" s="93">
        <f>IF(PTKEY=2,IF(AND('PT 1 Skill Tables'!AF30=1,'PT 1 Skill Tables'!AD30=1),1,0),IF(PTKEY=3,IF(AND('PT 2 Skill Tables'!AF30=1,'PT 2 Skill Tables'!AD30=1),1,0),IF(PTKEY=4,IF(AND('PT 3 Skill Tables'!AF30=1,'PT 3 Skill Tables'!AD30=1),1,0),IF(PTKEY=5,IF(AND('PT 4 Skill Tables'!AF30=1,'PT 4 Skill Tables'!AD30=1),1,0),IF(PTKEY=6,IF(AND('PT 5 Skill Tables'!AF30=1,'PT 5 Skill Tables'!AD30=1),1,0),IF(PTKEY=7,IF(AND('PT 6 Skill Tables'!AF30=1,'PT 6 Skill Tables'!AD30=1),1,0),""))))))</f>
        <v>0</v>
      </c>
    </row>
    <row r="30" spans="7:37">
      <c r="G30" s="160">
        <v>27</v>
      </c>
      <c r="H30" s="159">
        <f>IF(Input!C36=(VLOOKUP(Input!B36,Table2[#All],PTKEY,TRUE)), 1, 0)</f>
        <v>0</v>
      </c>
      <c r="J30" s="160">
        <v>27</v>
      </c>
      <c r="K30" s="159">
        <f>IF(Input!E36=(VLOOKUP(Input!D36,Table3[#All],PTKEY,TRUE)), 1, 0)</f>
        <v>0</v>
      </c>
      <c r="P30" s="160">
        <v>27</v>
      </c>
      <c r="Q30" s="159">
        <f>IF(Input!I36=(VLOOKUP(Input!H36,Table5[#All],PTKEY,TRUE)), 1, 0)</f>
        <v>0</v>
      </c>
      <c r="S30" s="93">
        <v>27</v>
      </c>
      <c r="T30" s="93">
        <f>IF(PTKEY=2,IF(AND('PT 1 Skill Tables'!F31=1,'PT 1 Skill Tables'!E31=1),1,0),IF(PTKEY=3,IF(AND('PT 2 Skill Tables'!F31=1,'PT 2 Skill Tables'!E31=1),1,0),IF(PTKEY=4,IF(AND('PT 3 Skill Tables'!F31=1,'PT 3 Skill Tables'!E31=1),1,0),IF(PTKEY=5,IF(AND('PT 4 Skill Tables'!F31=1,'PT 4 Skill Tables'!E31=1),1,0),IF(PTKEY=6,IF(AND('PT 5 Skill Tables'!F31=1,'PT 5 Skill Tables'!E31=1),1,0),IF(PTKEY=7,IF(AND('PT 6 Skill Tables'!F31=1,'PT 6 Skill Tables'!E31=1),1,0),""))))))</f>
        <v>0</v>
      </c>
      <c r="U30" s="93">
        <f>IF(PTKEY=2,IF(AND('PT 1 Skill Tables'!O31=1,'PT 1 Skill Tables'!N31=1),1,0),IF(PTKEY=3,IF(AND('PT 2 Skill Tables'!O31=1,'PT 2 Skill Tables'!N31=1),1,0),IF(PTKEY=4,IF(AND('PT 3 Skill Tables'!O31=1,'PT 3 Skill Tables'!N31=1),1,0),IF(PTKEY=5,IF(AND('PT 4 Skill Tables'!O31=1,'PT 4 Skill Tables'!N31=1),1,0),IF(PTKEY=6,IF(AND('PT 5 Skill Tables'!O31=1,'PT 5 Skill Tables'!N31=1),1,0),IF(PTKEY=7,IF(AND('PT 6 Skill Tables'!O31=1,'PT 6 Skill Tables'!N31=1),1,0),""))))))</f>
        <v>0</v>
      </c>
      <c r="W30" s="93">
        <v>27</v>
      </c>
      <c r="X30" s="93">
        <f>IF(PTKEY=2,IF(AND('PT 1 Skill Tables'!G31=1,'PT 1 Skill Tables'!E31=1),1,0),IF(PTKEY=3,IF(AND('PT 2 Skill Tables'!G31=1,'PT 2 Skill Tables'!E31=1),1,0),IF(PTKEY=4,IF(AND('PT 3 Skill Tables'!G31=1,'PT 3 Skill Tables'!E31=1),1,0),IF(PTKEY=5,IF(AND('PT 4 Skill Tables'!G31=1,'PT 4 Skill Tables'!E31=1),1,0),IF(PTKEY=6,IF(AND('PT 5 Skill Tables'!G31=1,'PT 5 Skill Tables'!E31=1),1,0),IF(PTKEY=7,IF(AND('PT 6 Skill Tables'!G31=1,'PT 6 Skill Tables'!E31=1),1,0),""))))))</f>
        <v>0</v>
      </c>
      <c r="Y30" s="93">
        <f>IF(PTKEY=2,IF(AND('PT 1 Skill Tables'!P31=1,'PT 1 Skill Tables'!N31=1),1,0),IF(PTKEY=3,IF(AND('PT 2 Skill Tables'!P31=1,'PT 2 Skill Tables'!N31=1),1,0),IF(PTKEY=4,IF(AND('PT 3 Skill Tables'!P31=1,'PT 3 Skill Tables'!N31=1),1,0),IF(PTKEY=5,IF(AND('PT 4 Skill Tables'!P31=1,'PT 4 Skill Tables'!N31=1),1,0),IF(PTKEY=6,IF(AND('PT 5 Skill Tables'!P31=1,'PT 5 Skill Tables'!N31=1),1,0),IF(PTKEY=7,IF(AND('PT 6 Skill Tables'!P31=1,'PT 6 Skill Tables'!N31=1),1,0),""))))))</f>
        <v>0</v>
      </c>
      <c r="AA30" s="135">
        <v>27</v>
      </c>
      <c r="AB30" s="93">
        <f>IF(PTKEY=2, IF(AND('PT 1 Skill Tables'!H31=1,'PT 1 Skill Tables'!E31=1), 1, 0), IF(PTKEY=3,IF(AND('PT 2 Skill Tables'!H31=1,'PT 2 Skill Tables'!E31=1), 1, 0),IF(PTKEY=4,IF(AND('PT 3 Skill Tables'!H31=1,'PT 3 Skill Tables'!E31=1), 1, 0), IF(PTKEY=5,IF(AND('PT 4 Skill Tables'!H31=1,'PT 4 Skill Tables'!E31=1), 1, 0),IF(PTKEY=6,IF(AND('PT 5 Skill Tables'!H31=1,'PT 5 Skill Tables'!E31=1),1,0),IF(PTKEY=7,IF(AND('PT 6 Skill Tables'!H31=1,'PT 6 Skill Tables'!E31=1),1,0),""))))))</f>
        <v>0</v>
      </c>
      <c r="AC30" s="93">
        <f>IF(PTKEY=2, IF(AND('PT 1 Skill Tables'!Q31=1,'PT 1 Skill Tables'!N31=1), 1, 0), IF(PTKEY=3,IF(AND('PT 2 Skill Tables'!Q31=1,'PT 2 Skill Tables'!N31=1), 1, 0),IF(PTKEY=4,IF(AND('PT 3 Skill Tables'!Q31=1,'PT 3 Skill Tables'!N31=1), 1, 0), IF(PTKEY=5,IF(AND('PT 4 Skill Tables'!Q31=1,'PT 4 Skill Tables'!N31=1), 1, 0),IF(PTKEY=6,IF(AND('PT 5 Skill Tables'!Q31=1,'PT 5 Skill Tables'!N31=1),1,0),IF(PTKEY=7,IF(AND('PT 6 Skill Tables'!Q31=1,'PT 6 Skill Tables'!N31=1),1,0),""))))))</f>
        <v>0</v>
      </c>
      <c r="AD30" s="93">
        <f>IF(PTKEY=2, IF(AND('PT 1 Skill Tables'!X31=1,'PT 1 Skill Tables'!W31=1), 1, 0), IF(PTKEY=3,IF(AND('PT 2 Skill Tables'!X31=1,'PT 2 Skill Tables'!W31=1), 1, 0),IF(PTKEY=4,IF(AND('PT 3 Skill Tables'!X31=1,'PT 3 Skill Tables'!W31=1), 1, 0),IF(PTKEY=5,IF(AND('PT 4 Skill Tables'!X31=1,'PT 4 Skill Tables'!W31=1), 1, 0),IF(PTKEY=6,IF(AND('PT 5 Skill Tables'!X31=1,'PT 5 Skill Tables'!W31=1),1,0), IF(PTKEY=7,IF(AND('PT 6 Skill Tables'!X31=1,'PT 6 Skill Tables'!W31=1),1,0),""))))))</f>
        <v>0</v>
      </c>
      <c r="AE30" s="93">
        <f>IF(PTKEY=2, IF(AND('PT 1 Skill Tables'!AE31=1,'PT 1 Skill Tables'!AD31=1), 1, 0), IF(PTKEY=3,IF(AND('PT 2 Skill Tables'!AE31=1,'PT 2 Skill Tables'!AD31=1), 1, 0),IF(PTKEY=4,IF(AND('PT 3 Skill Tables'!AE31=1,'PT 3 Skill Tables'!AD31=1), 1, 0),IF(PTKEY=5,IF(AND('PT 4 Skill Tables'!AE31=1,'PT 4 Skill Tables'!AD31=1), 1, 0),IF(PTKEY=6,IF(AND('PT 5 Skill Tables'!AE31=1,'PT 5 Skill Tables'!AD31=1),1,0),IF(PTKEY=7,IF(AND('PT 6 Skill Tables'!AE31=1,'PT 6 Skill Tables'!AD31=1),1,0),""))))))</f>
        <v>0</v>
      </c>
      <c r="AG30" s="93">
        <v>27</v>
      </c>
      <c r="AH30" s="93">
        <f>IF(PTKEY=2, IF(AND('PT 1 Skill Tables'!I31=1,'PT 1 Skill Tables'!E31=1), 1, 0), IF(PTKEY=3,IF(AND('PT 2 Skill Tables'!I31=1,'PT 2 Skill Tables'!E31=1), 1, 0), IF(PTKEY=4,IF(AND('PT 3 Skill Tables'!I31=1,'PT 3 Skill Tables'!E31=1), 1, 0),IF(PTKEY=5,IF(AND('PT 4 Skill Tables'!I31=1,'PT 4 Skill Tables'!E31=1), 1, 0),IF(PTKEY=6,IF(AND('PT 5 Skill Tables'!I31=1,'PT 5 Skill Tables'!E31=1),1,0),IF(PTKEY=7,IF(AND('PT 6 Skill Tables'!I31=1,'PT 6 Skill Tables'!E31=1),1,0),""))))))</f>
        <v>0</v>
      </c>
      <c r="AI30" s="93">
        <f>IF(PTKEY=2,IF(AND('PT 1 Skill Tables'!R31=1,'PT 1 Skill Tables'!N31=1),1,0),IF(PTKEY=3,IF(AND('PT 2 Skill Tables'!R31=1,'PT 2 Skill Tables'!N31=1),1,0),IF(PTKEY=4,IF(AND('PT 3 Skill Tables'!R31=1,'PT 3 Skill Tables'!N31=1),1,0),IF(PTKEY=5,IF(AND('PT 4 Skill Tables'!R31=1,'PT 4 Skill Tables'!N31=1),1,0),IF(PTKEY=6,IF(AND('PT 5 Skill Tables'!R31=1,'PT 5 Skill Tables'!N31=1),1,0),IF(PTKEY=7,IF(AND('PT 6 Skill Tables'!R31=1,'PT 6 Skill Tables'!N31=1),1,0),""))))))</f>
        <v>0</v>
      </c>
      <c r="AJ30" s="93">
        <f>IF(PTKEY=2,IF(AND('PT 1 Skill Tables'!Y31=1,'PT 1 Skill Tables'!W31=1),1,0),IF(PTKEY=3,IF(AND('PT 2 Skill Tables'!Y31=1,'PT 2 Skill Tables'!W31=1),1,0),IF(PTKEY=4,IF(AND('PT 3 Skill Tables'!Y31=1,'PT 3 Skill Tables'!W31=1),1,0),IF(PTKEY=5,IF(AND('PT 4 Skill Tables'!Y31=1,'PT 4 Skill Tables'!W31=1),1,0),IF(PTKEY=6,IF(AND('PT 5 Skill Tables'!Y31=1,'PT 5 Skill Tables'!W31=1),1,0),IF(PTKEY=7,IF(AND('PT 6 Skill Tables'!Y31=1,'PT 6 Skill Tables'!W31=1),1,0),""))))))</f>
        <v>0</v>
      </c>
      <c r="AK30" s="93">
        <f>IF(PTKEY=2,IF(AND('PT 1 Skill Tables'!AF31=1,'PT 1 Skill Tables'!AD31=1),1,0),IF(PTKEY=3,IF(AND('PT 2 Skill Tables'!AF31=1,'PT 2 Skill Tables'!AD31=1),1,0),IF(PTKEY=4,IF(AND('PT 3 Skill Tables'!AF31=1,'PT 3 Skill Tables'!AD31=1),1,0),IF(PTKEY=5,IF(AND('PT 4 Skill Tables'!AF31=1,'PT 4 Skill Tables'!AD31=1),1,0),IF(PTKEY=6,IF(AND('PT 5 Skill Tables'!AF31=1,'PT 5 Skill Tables'!AD31=1),1,0),IF(PTKEY=7,IF(AND('PT 6 Skill Tables'!AF31=1,'PT 6 Skill Tables'!AD31=1),1,0),""))))))</f>
        <v>0</v>
      </c>
    </row>
    <row r="31" spans="7:37">
      <c r="G31" s="158">
        <v>28</v>
      </c>
      <c r="H31" s="159">
        <f>IF(Input!C37=(VLOOKUP(Input!B37,Table2[#All],PTKEY,TRUE)), 1, 0)</f>
        <v>0</v>
      </c>
      <c r="J31" s="158">
        <v>28</v>
      </c>
      <c r="K31" s="159">
        <f>IF(Input!E37=(VLOOKUP(Input!D37,Table3[#All],PTKEY,TRUE)), 1, 0)</f>
        <v>0</v>
      </c>
      <c r="P31" s="158">
        <v>28</v>
      </c>
      <c r="Q31" s="159">
        <f>IF(Input!I37=(VLOOKUP(Input!H37,Table5[#All],PTKEY,TRUE)), 1, 0)</f>
        <v>0</v>
      </c>
      <c r="S31" s="93">
        <v>28</v>
      </c>
      <c r="T31" s="93">
        <f>IF(PTKEY=2,IF(AND('PT 1 Skill Tables'!F32=1,'PT 1 Skill Tables'!E32=1),1,0),IF(PTKEY=3,IF(AND('PT 2 Skill Tables'!F32=1,'PT 2 Skill Tables'!E32=1),1,0),IF(PTKEY=4,IF(AND('PT 3 Skill Tables'!F32=1,'PT 3 Skill Tables'!E32=1),1,0),IF(PTKEY=5,IF(AND('PT 4 Skill Tables'!F32=1,'PT 4 Skill Tables'!E32=1),1,0),IF(PTKEY=6,IF(AND('PT 5 Skill Tables'!F32=1,'PT 5 Skill Tables'!E32=1),1,0),IF(PTKEY=7,IF(AND('PT 6 Skill Tables'!F32=1,'PT 6 Skill Tables'!E32=1),1,0),""))))))</f>
        <v>0</v>
      </c>
      <c r="U31" s="93">
        <f>IF(PTKEY=2,IF(AND('PT 1 Skill Tables'!O32=1,'PT 1 Skill Tables'!N32=1),1,0),IF(PTKEY=3,IF(AND('PT 2 Skill Tables'!O32=1,'PT 2 Skill Tables'!N32=1),1,0),IF(PTKEY=4,IF(AND('PT 3 Skill Tables'!O32=1,'PT 3 Skill Tables'!N32=1),1,0),IF(PTKEY=5,IF(AND('PT 4 Skill Tables'!O32=1,'PT 4 Skill Tables'!N32=1),1,0),IF(PTKEY=6,IF(AND('PT 5 Skill Tables'!O32=1,'PT 5 Skill Tables'!N32=1),1,0),IF(PTKEY=7,IF(AND('PT 6 Skill Tables'!O32=1,'PT 6 Skill Tables'!N32=1),1,0),""))))))</f>
        <v>0</v>
      </c>
      <c r="W31" s="93">
        <v>28</v>
      </c>
      <c r="X31" s="93">
        <f>IF(PTKEY=2,IF(AND('PT 1 Skill Tables'!G32=1,'PT 1 Skill Tables'!E32=1),1,0),IF(PTKEY=3,IF(AND('PT 2 Skill Tables'!G32=1,'PT 2 Skill Tables'!E32=1),1,0),IF(PTKEY=4,IF(AND('PT 3 Skill Tables'!G32=1,'PT 3 Skill Tables'!E32=1),1,0),IF(PTKEY=5,IF(AND('PT 4 Skill Tables'!G32=1,'PT 4 Skill Tables'!E32=1),1,0),IF(PTKEY=6,IF(AND('PT 5 Skill Tables'!G32=1,'PT 5 Skill Tables'!E32=1),1,0),IF(PTKEY=7,IF(AND('PT 6 Skill Tables'!G32=1,'PT 6 Skill Tables'!E32=1),1,0),""))))))</f>
        <v>0</v>
      </c>
      <c r="Y31" s="93">
        <f>IF(PTKEY=2,IF(AND('PT 1 Skill Tables'!P32=1,'PT 1 Skill Tables'!N32=1),1,0),IF(PTKEY=3,IF(AND('PT 2 Skill Tables'!P32=1,'PT 2 Skill Tables'!N32=1),1,0),IF(PTKEY=4,IF(AND('PT 3 Skill Tables'!P32=1,'PT 3 Skill Tables'!N32=1),1,0),IF(PTKEY=5,IF(AND('PT 4 Skill Tables'!P32=1,'PT 4 Skill Tables'!N32=1),1,0),IF(PTKEY=6,IF(AND('PT 5 Skill Tables'!P32=1,'PT 5 Skill Tables'!N32=1),1,0),IF(PTKEY=7,IF(AND('PT 6 Skill Tables'!P32=1,'PT 6 Skill Tables'!N32=1),1,0),""))))))</f>
        <v>0</v>
      </c>
      <c r="AA31" s="136">
        <v>28</v>
      </c>
      <c r="AB31" s="93">
        <f>IF(PTKEY=2, IF(AND('PT 1 Skill Tables'!H32=1,'PT 1 Skill Tables'!E32=1), 1, 0), IF(PTKEY=3,IF(AND('PT 2 Skill Tables'!H32=1,'PT 2 Skill Tables'!E32=1), 1, 0),IF(PTKEY=4,IF(AND('PT 3 Skill Tables'!H32=1,'PT 3 Skill Tables'!E32=1), 1, 0), IF(PTKEY=5,IF(AND('PT 4 Skill Tables'!H32=1,'PT 4 Skill Tables'!E32=1), 1, 0),IF(PTKEY=6,IF(AND('PT 5 Skill Tables'!H32=1,'PT 5 Skill Tables'!E32=1),1,0),IF(PTKEY=7,IF(AND('PT 6 Skill Tables'!H32=1,'PT 6 Skill Tables'!E32=1),1,0),""))))))</f>
        <v>0</v>
      </c>
      <c r="AC31" s="93">
        <f>IF(PTKEY=2, IF(AND('PT 1 Skill Tables'!Q32=1,'PT 1 Skill Tables'!N32=1), 1, 0), IF(PTKEY=3,IF(AND('PT 2 Skill Tables'!Q32=1,'PT 2 Skill Tables'!N32=1), 1, 0),IF(PTKEY=4,IF(AND('PT 3 Skill Tables'!Q32=1,'PT 3 Skill Tables'!N32=1), 1, 0), IF(PTKEY=5,IF(AND('PT 4 Skill Tables'!Q32=1,'PT 4 Skill Tables'!N32=1), 1, 0),IF(PTKEY=6,IF(AND('PT 5 Skill Tables'!Q32=1,'PT 5 Skill Tables'!N32=1),1,0),IF(PTKEY=7,IF(AND('PT 6 Skill Tables'!Q32=1,'PT 6 Skill Tables'!N32=1),1,0),""))))))</f>
        <v>0</v>
      </c>
      <c r="AD31" s="93">
        <f>IF(PTKEY=2, IF(AND('PT 1 Skill Tables'!X32=1,'PT 1 Skill Tables'!W32=1), 1, 0), IF(PTKEY=3,IF(AND('PT 2 Skill Tables'!X32=1,'PT 2 Skill Tables'!W32=1), 1, 0),IF(PTKEY=4,IF(AND('PT 3 Skill Tables'!X32=1,'PT 3 Skill Tables'!W32=1), 1, 0),IF(PTKEY=5,IF(AND('PT 4 Skill Tables'!X32=1,'PT 4 Skill Tables'!W32=1), 1, 0),IF(PTKEY=6,IF(AND('PT 5 Skill Tables'!X32=1,'PT 5 Skill Tables'!W32=1),1,0), IF(PTKEY=7,IF(AND('PT 6 Skill Tables'!X32=1,'PT 6 Skill Tables'!W32=1),1,0),""))))))</f>
        <v>0</v>
      </c>
      <c r="AE31" s="93">
        <f>IF(PTKEY=2, IF(AND('PT 1 Skill Tables'!AE32=1,'PT 1 Skill Tables'!AD32=1), 1, 0), IF(PTKEY=3,IF(AND('PT 2 Skill Tables'!AE32=1,'PT 2 Skill Tables'!AD32=1), 1, 0),IF(PTKEY=4,IF(AND('PT 3 Skill Tables'!AE32=1,'PT 3 Skill Tables'!AD32=1), 1, 0),IF(PTKEY=5,IF(AND('PT 4 Skill Tables'!AE32=1,'PT 4 Skill Tables'!AD32=1), 1, 0),IF(PTKEY=6,IF(AND('PT 5 Skill Tables'!AE32=1,'PT 5 Skill Tables'!AD32=1),1,0),IF(PTKEY=7,IF(AND('PT 6 Skill Tables'!AE32=1,'PT 6 Skill Tables'!AD32=1),1,0),""))))))</f>
        <v>0</v>
      </c>
      <c r="AG31" s="93">
        <v>28</v>
      </c>
      <c r="AH31" s="93">
        <f>IF(PTKEY=2, IF(AND('PT 1 Skill Tables'!I32=1,'PT 1 Skill Tables'!E32=1), 1, 0), IF(PTKEY=3,IF(AND('PT 2 Skill Tables'!I32=1,'PT 2 Skill Tables'!E32=1), 1, 0), IF(PTKEY=4,IF(AND('PT 3 Skill Tables'!I32=1,'PT 3 Skill Tables'!E32=1), 1, 0),IF(PTKEY=5,IF(AND('PT 4 Skill Tables'!I32=1,'PT 4 Skill Tables'!E32=1), 1, 0),IF(PTKEY=6,IF(AND('PT 5 Skill Tables'!I32=1,'PT 5 Skill Tables'!E32=1),1,0),IF(PTKEY=7,IF(AND('PT 6 Skill Tables'!I32=1,'PT 6 Skill Tables'!E32=1),1,0),""))))))</f>
        <v>0</v>
      </c>
      <c r="AI31" s="93">
        <f>IF(PTKEY=2,IF(AND('PT 1 Skill Tables'!R32=1,'PT 1 Skill Tables'!N32=1),1,0),IF(PTKEY=3,IF(AND('PT 2 Skill Tables'!R32=1,'PT 2 Skill Tables'!N32=1),1,0),IF(PTKEY=4,IF(AND('PT 3 Skill Tables'!R32=1,'PT 3 Skill Tables'!N32=1),1,0),IF(PTKEY=5,IF(AND('PT 4 Skill Tables'!R32=1,'PT 4 Skill Tables'!N32=1),1,0),IF(PTKEY=6,IF(AND('PT 5 Skill Tables'!R32=1,'PT 5 Skill Tables'!N32=1),1,0),IF(PTKEY=7,IF(AND('PT 6 Skill Tables'!R32=1,'PT 6 Skill Tables'!N32=1),1,0),""))))))</f>
        <v>0</v>
      </c>
      <c r="AJ31" s="93">
        <f>IF(PTKEY=2,IF(AND('PT 1 Skill Tables'!Y32=1,'PT 1 Skill Tables'!W32=1),1,0),IF(PTKEY=3,IF(AND('PT 2 Skill Tables'!Y32=1,'PT 2 Skill Tables'!W32=1),1,0),IF(PTKEY=4,IF(AND('PT 3 Skill Tables'!Y32=1,'PT 3 Skill Tables'!W32=1),1,0),IF(PTKEY=5,IF(AND('PT 4 Skill Tables'!Y32=1,'PT 4 Skill Tables'!W32=1),1,0),IF(PTKEY=6,IF(AND('PT 5 Skill Tables'!Y32=1,'PT 5 Skill Tables'!W32=1),1,0),IF(PTKEY=7,IF(AND('PT 6 Skill Tables'!Y32=1,'PT 6 Skill Tables'!W32=1),1,0),""))))))</f>
        <v>0</v>
      </c>
      <c r="AK31" s="93">
        <f>IF(PTKEY=2,IF(AND('PT 1 Skill Tables'!AF32=1,'PT 1 Skill Tables'!AD32=1),1,0),IF(PTKEY=3,IF(AND('PT 2 Skill Tables'!AF32=1,'PT 2 Skill Tables'!AD32=1),1,0),IF(PTKEY=4,IF(AND('PT 3 Skill Tables'!AF32=1,'PT 3 Skill Tables'!AD32=1),1,0),IF(PTKEY=5,IF(AND('PT 4 Skill Tables'!AF32=1,'PT 4 Skill Tables'!AD32=1),1,0),IF(PTKEY=6,IF(AND('PT 5 Skill Tables'!AF32=1,'PT 5 Skill Tables'!AD32=1),1,0),IF(PTKEY=7,IF(AND('PT 6 Skill Tables'!AF32=1,'PT 6 Skill Tables'!AD32=1),1,0),""))))))</f>
        <v>0</v>
      </c>
    </row>
    <row r="32" spans="7:37">
      <c r="G32" s="160">
        <v>29</v>
      </c>
      <c r="H32" s="159">
        <f>IF(Input!C38=(VLOOKUP(Input!B38,Table2[#All],PTKEY,TRUE)), 1, 0)</f>
        <v>0</v>
      </c>
      <c r="J32" s="160">
        <v>29</v>
      </c>
      <c r="K32" s="159">
        <f>IF(Input!E38=(VLOOKUP(Input!D38,Table3[#All],PTKEY,TRUE)), 1, 0)</f>
        <v>0</v>
      </c>
      <c r="P32" s="160">
        <v>29</v>
      </c>
      <c r="Q32" s="159">
        <f>IF(Input!I38=(VLOOKUP(Input!H38,Table5[#All],PTKEY,TRUE)), 1, 0)</f>
        <v>0</v>
      </c>
      <c r="S32" s="93">
        <v>29</v>
      </c>
      <c r="T32" s="93">
        <f>IF(PTKEY=2,IF(AND('PT 1 Skill Tables'!F33=1,'PT 1 Skill Tables'!E33=1),1,0),IF(PTKEY=3,IF(AND('PT 2 Skill Tables'!F33=1,'PT 2 Skill Tables'!E33=1),1,0),IF(PTKEY=4,IF(AND('PT 3 Skill Tables'!F33=1,'PT 3 Skill Tables'!E33=1),1,0),IF(PTKEY=5,IF(AND('PT 4 Skill Tables'!F33=1,'PT 4 Skill Tables'!E33=1),1,0),IF(PTKEY=6,IF(AND('PT 5 Skill Tables'!F33=1,'PT 5 Skill Tables'!E33=1),1,0),IF(PTKEY=7,IF(AND('PT 6 Skill Tables'!F33=1,'PT 6 Skill Tables'!E33=1),1,0),""))))))</f>
        <v>0</v>
      </c>
      <c r="U32" s="93">
        <f>IF(PTKEY=2,IF(AND('PT 1 Skill Tables'!O33=1,'PT 1 Skill Tables'!N33=1),1,0),IF(PTKEY=3,IF(AND('PT 2 Skill Tables'!O33=1,'PT 2 Skill Tables'!N33=1),1,0),IF(PTKEY=4,IF(AND('PT 3 Skill Tables'!O33=1,'PT 3 Skill Tables'!N33=1),1,0),IF(PTKEY=5,IF(AND('PT 4 Skill Tables'!O33=1,'PT 4 Skill Tables'!N33=1),1,0),IF(PTKEY=6,IF(AND('PT 5 Skill Tables'!O33=1,'PT 5 Skill Tables'!N33=1),1,0),IF(PTKEY=7,IF(AND('PT 6 Skill Tables'!O33=1,'PT 6 Skill Tables'!N33=1),1,0),""))))))</f>
        <v>0</v>
      </c>
      <c r="W32" s="93">
        <v>29</v>
      </c>
      <c r="X32" s="93">
        <f>IF(PTKEY=2,IF(AND('PT 1 Skill Tables'!G33=1,'PT 1 Skill Tables'!E33=1),1,0),IF(PTKEY=3,IF(AND('PT 2 Skill Tables'!G33=1,'PT 2 Skill Tables'!E33=1),1,0),IF(PTKEY=4,IF(AND('PT 3 Skill Tables'!G33=1,'PT 3 Skill Tables'!E33=1),1,0),IF(PTKEY=5,IF(AND('PT 4 Skill Tables'!G33=1,'PT 4 Skill Tables'!E33=1),1,0),IF(PTKEY=6,IF(AND('PT 5 Skill Tables'!G33=1,'PT 5 Skill Tables'!E33=1),1,0),IF(PTKEY=7,IF(AND('PT 6 Skill Tables'!G33=1,'PT 6 Skill Tables'!E33=1),1,0),""))))))</f>
        <v>0</v>
      </c>
      <c r="Y32" s="93">
        <f>IF(PTKEY=2,IF(AND('PT 1 Skill Tables'!P33=1,'PT 1 Skill Tables'!N33=1),1,0),IF(PTKEY=3,IF(AND('PT 2 Skill Tables'!P33=1,'PT 2 Skill Tables'!N33=1),1,0),IF(PTKEY=4,IF(AND('PT 3 Skill Tables'!P33=1,'PT 3 Skill Tables'!N33=1),1,0),IF(PTKEY=5,IF(AND('PT 4 Skill Tables'!P33=1,'PT 4 Skill Tables'!N33=1),1,0),IF(PTKEY=6,IF(AND('PT 5 Skill Tables'!P33=1,'PT 5 Skill Tables'!N33=1),1,0),IF(PTKEY=7,IF(AND('PT 6 Skill Tables'!P33=1,'PT 6 Skill Tables'!N33=1),1,0),""))))))</f>
        <v>0</v>
      </c>
      <c r="AA32" s="135">
        <v>29</v>
      </c>
      <c r="AB32" s="93">
        <f>IF(PTKEY=2, IF(AND('PT 1 Skill Tables'!H33=1,'PT 1 Skill Tables'!E33=1), 1, 0), IF(PTKEY=3,IF(AND('PT 2 Skill Tables'!H33=1,'PT 2 Skill Tables'!E33=1), 1, 0),IF(PTKEY=4,IF(AND('PT 3 Skill Tables'!H33=1,'PT 3 Skill Tables'!E33=1), 1, 0), IF(PTKEY=5,IF(AND('PT 4 Skill Tables'!H33=1,'PT 4 Skill Tables'!E33=1), 1, 0),IF(PTKEY=6,IF(AND('PT 5 Skill Tables'!H33=1,'PT 5 Skill Tables'!E33=1),1,0),IF(PTKEY=7,IF(AND('PT 6 Skill Tables'!H33=1,'PT 6 Skill Tables'!E33=1),1,0),""))))))</f>
        <v>0</v>
      </c>
      <c r="AC32" s="93">
        <f>IF(PTKEY=2, IF(AND('PT 1 Skill Tables'!Q33=1,'PT 1 Skill Tables'!N33=1), 1, 0), IF(PTKEY=3,IF(AND('PT 2 Skill Tables'!Q33=1,'PT 2 Skill Tables'!N33=1), 1, 0),IF(PTKEY=4,IF(AND('PT 3 Skill Tables'!Q33=1,'PT 3 Skill Tables'!N33=1), 1, 0), IF(PTKEY=5,IF(AND('PT 4 Skill Tables'!Q33=1,'PT 4 Skill Tables'!N33=1), 1, 0),IF(PTKEY=6,IF(AND('PT 5 Skill Tables'!Q33=1,'PT 5 Skill Tables'!N33=1),1,0),IF(PTKEY=7,IF(AND('PT 6 Skill Tables'!Q33=1,'PT 6 Skill Tables'!N33=1),1,0),""))))))</f>
        <v>0</v>
      </c>
      <c r="AD32" s="93">
        <f>IF(PTKEY=2, IF(AND('PT 1 Skill Tables'!X33=1,'PT 1 Skill Tables'!W33=1), 1, 0), IF(PTKEY=3,IF(AND('PT 2 Skill Tables'!X33=1,'PT 2 Skill Tables'!W33=1), 1, 0),IF(PTKEY=4,IF(AND('PT 3 Skill Tables'!X33=1,'PT 3 Skill Tables'!W33=1), 1, 0),IF(PTKEY=5,IF(AND('PT 4 Skill Tables'!X33=1,'PT 4 Skill Tables'!W33=1), 1, 0),IF(PTKEY=6,IF(AND('PT 5 Skill Tables'!X33=1,'PT 5 Skill Tables'!W33=1),1,0), IF(PTKEY=7,IF(AND('PT 6 Skill Tables'!X33=1,'PT 6 Skill Tables'!W33=1),1,0),""))))))</f>
        <v>0</v>
      </c>
      <c r="AE32" s="93">
        <f>IF(PTKEY=2, IF(AND('PT 1 Skill Tables'!AE33=1,'PT 1 Skill Tables'!AD33=1), 1, 0), IF(PTKEY=3,IF(AND('PT 2 Skill Tables'!AE33=1,'PT 2 Skill Tables'!AD33=1), 1, 0),IF(PTKEY=4,IF(AND('PT 3 Skill Tables'!AE33=1,'PT 3 Skill Tables'!AD33=1), 1, 0),IF(PTKEY=5,IF(AND('PT 4 Skill Tables'!AE33=1,'PT 4 Skill Tables'!AD33=1), 1, 0),IF(PTKEY=6,IF(AND('PT 5 Skill Tables'!AE33=1,'PT 5 Skill Tables'!AD33=1),1,0),IF(PTKEY=7,IF(AND('PT 6 Skill Tables'!AE33=1,'PT 6 Skill Tables'!AD33=1),1,0),""))))))</f>
        <v>0</v>
      </c>
      <c r="AG32" s="93">
        <v>29</v>
      </c>
      <c r="AH32" s="93">
        <f>IF(PTKEY=2, IF(AND('PT 1 Skill Tables'!I33=1,'PT 1 Skill Tables'!E33=1), 1, 0), IF(PTKEY=3,IF(AND('PT 2 Skill Tables'!I33=1,'PT 2 Skill Tables'!E33=1), 1, 0), IF(PTKEY=4,IF(AND('PT 3 Skill Tables'!I33=1,'PT 3 Skill Tables'!E33=1), 1, 0),IF(PTKEY=5,IF(AND('PT 4 Skill Tables'!I33=1,'PT 4 Skill Tables'!E33=1), 1, 0),IF(PTKEY=6,IF(AND('PT 5 Skill Tables'!I33=1,'PT 5 Skill Tables'!E33=1),1,0),IF(PTKEY=7,IF(AND('PT 6 Skill Tables'!I33=1,'PT 6 Skill Tables'!E33=1),1,0),""))))))</f>
        <v>0</v>
      </c>
      <c r="AI32" s="93">
        <f>IF(PTKEY=2,IF(AND('PT 1 Skill Tables'!R33=1,'PT 1 Skill Tables'!N33=1),1,0),IF(PTKEY=3,IF(AND('PT 2 Skill Tables'!R33=1,'PT 2 Skill Tables'!N33=1),1,0),IF(PTKEY=4,IF(AND('PT 3 Skill Tables'!R33=1,'PT 3 Skill Tables'!N33=1),1,0),IF(PTKEY=5,IF(AND('PT 4 Skill Tables'!R33=1,'PT 4 Skill Tables'!N33=1),1,0),IF(PTKEY=6,IF(AND('PT 5 Skill Tables'!R33=1,'PT 5 Skill Tables'!N33=1),1,0),IF(PTKEY=7,IF(AND('PT 6 Skill Tables'!R33=1,'PT 6 Skill Tables'!N33=1),1,0),""))))))</f>
        <v>0</v>
      </c>
      <c r="AJ32" s="93">
        <f>IF(PTKEY=2,IF(AND('PT 1 Skill Tables'!Y33=1,'PT 1 Skill Tables'!W33=1),1,0),IF(PTKEY=3,IF(AND('PT 2 Skill Tables'!Y33=1,'PT 2 Skill Tables'!W33=1),1,0),IF(PTKEY=4,IF(AND('PT 3 Skill Tables'!Y33=1,'PT 3 Skill Tables'!W33=1),1,0),IF(PTKEY=5,IF(AND('PT 4 Skill Tables'!Y33=1,'PT 4 Skill Tables'!W33=1),1,0),IF(PTKEY=6,IF(AND('PT 5 Skill Tables'!Y33=1,'PT 5 Skill Tables'!W33=1),1,0),IF(PTKEY=7,IF(AND('PT 6 Skill Tables'!Y33=1,'PT 6 Skill Tables'!W33=1),1,0),""))))))</f>
        <v>0</v>
      </c>
      <c r="AK32" s="93">
        <f>IF(PTKEY=2,IF(AND('PT 1 Skill Tables'!AF33=1,'PT 1 Skill Tables'!AD33=1),1,0),IF(PTKEY=3,IF(AND('PT 2 Skill Tables'!AF33=1,'PT 2 Skill Tables'!AD33=1),1,0),IF(PTKEY=4,IF(AND('PT 3 Skill Tables'!AF33=1,'PT 3 Skill Tables'!AD33=1),1,0),IF(PTKEY=5,IF(AND('PT 4 Skill Tables'!AF33=1,'PT 4 Skill Tables'!AD33=1),1,0),IF(PTKEY=6,IF(AND('PT 5 Skill Tables'!AF33=1,'PT 5 Skill Tables'!AD33=1),1,0),IF(PTKEY=7,IF(AND('PT 6 Skill Tables'!AF33=1,'PT 6 Skill Tables'!AD33=1),1,0),""))))))</f>
        <v>0</v>
      </c>
    </row>
    <row r="33" spans="7:37">
      <c r="G33" s="158">
        <v>30</v>
      </c>
      <c r="H33" s="159">
        <f>IF(Input!C39=(VLOOKUP(Input!B39,Table2[#All],PTKEY,TRUE)), 1, 0)</f>
        <v>0</v>
      </c>
      <c r="J33" s="158">
        <v>30</v>
      </c>
      <c r="K33" s="159">
        <f>IF(Input!E39=(VLOOKUP(Input!D39,Table3[#All],PTKEY,TRUE)), 1, 0)</f>
        <v>0</v>
      </c>
      <c r="P33" s="158">
        <v>30</v>
      </c>
      <c r="Q33" s="159">
        <f>IF(Input!I39=(VLOOKUP(Input!H39,Table5[#All],PTKEY,TRUE)), 1, 0)</f>
        <v>0</v>
      </c>
      <c r="S33" s="93">
        <v>30</v>
      </c>
      <c r="T33" s="93">
        <f>IF(PTKEY=2,IF(AND('PT 1 Skill Tables'!F34=1,'PT 1 Skill Tables'!E34=1),1,0),IF(PTKEY=3,IF(AND('PT 2 Skill Tables'!F34=1,'PT 2 Skill Tables'!E34=1),1,0),IF(PTKEY=4,IF(AND('PT 3 Skill Tables'!F34=1,'PT 3 Skill Tables'!E34=1),1,0),IF(PTKEY=5,IF(AND('PT 4 Skill Tables'!F34=1,'PT 4 Skill Tables'!E34=1),1,0),IF(PTKEY=6,IF(AND('PT 5 Skill Tables'!F34=1,'PT 5 Skill Tables'!E34=1),1,0),IF(PTKEY=7,IF(AND('PT 6 Skill Tables'!F34=1,'PT 6 Skill Tables'!E34=1),1,0),""))))))</f>
        <v>0</v>
      </c>
      <c r="U33" s="93">
        <f>IF(PTKEY=2,IF(AND('PT 1 Skill Tables'!O34=1,'PT 1 Skill Tables'!N34=1),1,0),IF(PTKEY=3,IF(AND('PT 2 Skill Tables'!O34=1,'PT 2 Skill Tables'!N34=1),1,0),IF(PTKEY=4,IF(AND('PT 3 Skill Tables'!O34=1,'PT 3 Skill Tables'!N34=1),1,0),IF(PTKEY=5,IF(AND('PT 4 Skill Tables'!O34=1,'PT 4 Skill Tables'!N34=1),1,0),IF(PTKEY=6,IF(AND('PT 5 Skill Tables'!O34=1,'PT 5 Skill Tables'!N34=1),1,0),IF(PTKEY=7,IF(AND('PT 6 Skill Tables'!O34=1,'PT 6 Skill Tables'!N34=1),1,0),""))))))</f>
        <v>0</v>
      </c>
      <c r="W33" s="93">
        <v>30</v>
      </c>
      <c r="X33" s="93">
        <f>IF(PTKEY=2,IF(AND('PT 1 Skill Tables'!G34=1,'PT 1 Skill Tables'!E34=1),1,0),IF(PTKEY=3,IF(AND('PT 2 Skill Tables'!G34=1,'PT 2 Skill Tables'!E34=1),1,0),IF(PTKEY=4,IF(AND('PT 3 Skill Tables'!G34=1,'PT 3 Skill Tables'!E34=1),1,0),IF(PTKEY=5,IF(AND('PT 4 Skill Tables'!G34=1,'PT 4 Skill Tables'!E34=1),1,0),IF(PTKEY=6,IF(AND('PT 5 Skill Tables'!G34=1,'PT 5 Skill Tables'!E34=1),1,0),IF(PTKEY=7,IF(AND('PT 6 Skill Tables'!G34=1,'PT 6 Skill Tables'!E34=1),1,0),""))))))</f>
        <v>0</v>
      </c>
      <c r="Y33" s="93">
        <f>IF(PTKEY=2,IF(AND('PT 1 Skill Tables'!P34=1,'PT 1 Skill Tables'!N34=1),1,0),IF(PTKEY=3,IF(AND('PT 2 Skill Tables'!P34=1,'PT 2 Skill Tables'!N34=1),1,0),IF(PTKEY=4,IF(AND('PT 3 Skill Tables'!P34=1,'PT 3 Skill Tables'!N34=1),1,0),IF(PTKEY=5,IF(AND('PT 4 Skill Tables'!P34=1,'PT 4 Skill Tables'!N34=1),1,0),IF(PTKEY=6,IF(AND('PT 5 Skill Tables'!P34=1,'PT 5 Skill Tables'!N34=1),1,0),IF(PTKEY=7,IF(AND('PT 6 Skill Tables'!P34=1,'PT 6 Skill Tables'!N34=1),1,0),""))))))</f>
        <v>0</v>
      </c>
      <c r="AA33" s="136">
        <v>30</v>
      </c>
      <c r="AB33" s="93">
        <f>IF(PTKEY=2, IF(AND('PT 1 Skill Tables'!H34=1,'PT 1 Skill Tables'!E34=1), 1, 0), IF(PTKEY=3,IF(AND('PT 2 Skill Tables'!H34=1,'PT 2 Skill Tables'!E34=1), 1, 0),IF(PTKEY=4,IF(AND('PT 3 Skill Tables'!H34=1,'PT 3 Skill Tables'!E34=1), 1, 0), IF(PTKEY=5,IF(AND('PT 4 Skill Tables'!H34=1,'PT 4 Skill Tables'!E34=1), 1, 0),IF(PTKEY=6,IF(AND('PT 5 Skill Tables'!H34=1,'PT 5 Skill Tables'!E34=1),1,0),IF(PTKEY=7,IF(AND('PT 6 Skill Tables'!H34=1,'PT 6 Skill Tables'!E34=1),1,0),""))))))</f>
        <v>0</v>
      </c>
      <c r="AC33" s="93">
        <f>IF(PTKEY=2, IF(AND('PT 1 Skill Tables'!Q34=1,'PT 1 Skill Tables'!N34=1), 1, 0), IF(PTKEY=3,IF(AND('PT 2 Skill Tables'!Q34=1,'PT 2 Skill Tables'!N34=1), 1, 0),IF(PTKEY=4,IF(AND('PT 3 Skill Tables'!Q34=1,'PT 3 Skill Tables'!N34=1), 1, 0), IF(PTKEY=5,IF(AND('PT 4 Skill Tables'!Q34=1,'PT 4 Skill Tables'!N34=1), 1, 0),IF(PTKEY=6,IF(AND('PT 5 Skill Tables'!Q34=1,'PT 5 Skill Tables'!N34=1),1,0),IF(PTKEY=7,IF(AND('PT 6 Skill Tables'!Q34=1,'PT 6 Skill Tables'!N34=1),1,0),""))))))</f>
        <v>0</v>
      </c>
      <c r="AD33" s="93">
        <f>IF(PTKEY=2, IF(AND('PT 1 Skill Tables'!X34=1,'PT 1 Skill Tables'!W34=1), 1, 0), IF(PTKEY=3,IF(AND('PT 2 Skill Tables'!X34=1,'PT 2 Skill Tables'!W34=1), 1, 0),IF(PTKEY=4,IF(AND('PT 3 Skill Tables'!X34=1,'PT 3 Skill Tables'!W34=1), 1, 0),IF(PTKEY=5,IF(AND('PT 4 Skill Tables'!X34=1,'PT 4 Skill Tables'!W34=1), 1, 0),IF(PTKEY=6,IF(AND('PT 5 Skill Tables'!X34=1,'PT 5 Skill Tables'!W34=1),1,0), IF(PTKEY=7,IF(AND('PT 6 Skill Tables'!X34=1,'PT 6 Skill Tables'!W34=1),1,0),""))))))</f>
        <v>0</v>
      </c>
      <c r="AE33" s="93">
        <f>IF(PTKEY=2, IF(AND('PT 1 Skill Tables'!AE34=1,'PT 1 Skill Tables'!AD34=1), 1, 0), IF(PTKEY=3,IF(AND('PT 2 Skill Tables'!AE34=1,'PT 2 Skill Tables'!AD34=1), 1, 0),IF(PTKEY=4,IF(AND('PT 3 Skill Tables'!AE34=1,'PT 3 Skill Tables'!AD34=1), 1, 0),IF(PTKEY=5,IF(AND('PT 4 Skill Tables'!AE34=1,'PT 4 Skill Tables'!AD34=1), 1, 0),IF(PTKEY=6,IF(AND('PT 5 Skill Tables'!AE34=1,'PT 5 Skill Tables'!AD34=1),1,0),IF(PTKEY=7,IF(AND('PT 6 Skill Tables'!AE34=1,'PT 6 Skill Tables'!AD34=1),1,0),""))))))</f>
        <v>0</v>
      </c>
      <c r="AG33" s="93">
        <v>30</v>
      </c>
      <c r="AH33" s="93">
        <f>IF(PTKEY=2, IF(AND('PT 1 Skill Tables'!I34=1,'PT 1 Skill Tables'!E34=1), 1, 0), IF(PTKEY=3,IF(AND('PT 2 Skill Tables'!I34=1,'PT 2 Skill Tables'!E34=1), 1, 0), IF(PTKEY=4,IF(AND('PT 3 Skill Tables'!I34=1,'PT 3 Skill Tables'!E34=1), 1, 0),IF(PTKEY=5,IF(AND('PT 4 Skill Tables'!I34=1,'PT 4 Skill Tables'!E34=1), 1, 0),IF(PTKEY=6,IF(AND('PT 5 Skill Tables'!I34=1,'PT 5 Skill Tables'!E34=1),1,0),IF(PTKEY=7,IF(AND('PT 6 Skill Tables'!I34=1,'PT 6 Skill Tables'!E34=1),1,0),""))))))</f>
        <v>0</v>
      </c>
      <c r="AI33" s="93">
        <f>IF(PTKEY=2,IF(AND('PT 1 Skill Tables'!R34=1,'PT 1 Skill Tables'!N34=1),1,0),IF(PTKEY=3,IF(AND('PT 2 Skill Tables'!R34=1,'PT 2 Skill Tables'!N34=1),1,0),IF(PTKEY=4,IF(AND('PT 3 Skill Tables'!R34=1,'PT 3 Skill Tables'!N34=1),1,0),IF(PTKEY=5,IF(AND('PT 4 Skill Tables'!R34=1,'PT 4 Skill Tables'!N34=1),1,0),IF(PTKEY=6,IF(AND('PT 5 Skill Tables'!R34=1,'PT 5 Skill Tables'!N34=1),1,0),IF(PTKEY=7,IF(AND('PT 6 Skill Tables'!R34=1,'PT 6 Skill Tables'!N34=1),1,0),""))))))</f>
        <v>0</v>
      </c>
      <c r="AJ33" s="93">
        <f>IF(PTKEY=2,IF(AND('PT 1 Skill Tables'!Y34=1,'PT 1 Skill Tables'!W34=1),1,0),IF(PTKEY=3,IF(AND('PT 2 Skill Tables'!Y34=1,'PT 2 Skill Tables'!W34=1),1,0),IF(PTKEY=4,IF(AND('PT 3 Skill Tables'!Y34=1,'PT 3 Skill Tables'!W34=1),1,0),IF(PTKEY=5,IF(AND('PT 4 Skill Tables'!Y34=1,'PT 4 Skill Tables'!W34=1),1,0),IF(PTKEY=6,IF(AND('PT 5 Skill Tables'!Y34=1,'PT 5 Skill Tables'!W34=1),1,0),IF(PTKEY=7,IF(AND('PT 6 Skill Tables'!Y34=1,'PT 6 Skill Tables'!W34=1),1,0),""))))))</f>
        <v>0</v>
      </c>
      <c r="AK33" s="93">
        <f>IF(PTKEY=2,IF(AND('PT 1 Skill Tables'!AF34=1,'PT 1 Skill Tables'!AD34=1),1,0),IF(PTKEY=3,IF(AND('PT 2 Skill Tables'!AF34=1,'PT 2 Skill Tables'!AD34=1),1,0),IF(PTKEY=4,IF(AND('PT 3 Skill Tables'!AF34=1,'PT 3 Skill Tables'!AD34=1),1,0),IF(PTKEY=5,IF(AND('PT 4 Skill Tables'!AF34=1,'PT 4 Skill Tables'!AD34=1),1,0),IF(PTKEY=6,IF(AND('PT 5 Skill Tables'!AF34=1,'PT 5 Skill Tables'!AD34=1),1,0),IF(PTKEY=7,IF(AND('PT 6 Skill Tables'!AF34=1,'PT 6 Skill Tables'!AD34=1),1,0),""))))))</f>
        <v>0</v>
      </c>
    </row>
    <row r="34" spans="7:37">
      <c r="G34" s="160">
        <v>31</v>
      </c>
      <c r="H34" s="159">
        <f>IF(Input!C40=(VLOOKUP(Input!B40,Table2[#All],PTKEY,TRUE)), 1, 0)</f>
        <v>0</v>
      </c>
      <c r="J34" s="160">
        <v>31</v>
      </c>
      <c r="K34" s="159">
        <f>IF(Input!E40=(VLOOKUP(Input!D40,Table3[#All],PTKEY,TRUE)), 1, 0)</f>
        <v>0</v>
      </c>
      <c r="P34" s="160">
        <v>31</v>
      </c>
      <c r="Q34" s="159">
        <f>IF(PTDropdown="PT 1",IF(AND(Input!I40&gt;=4,Input!I40&lt;=6),1,0),IF(PTDropdown="PT 3",IF(OR(Input!I40=4,Input!I40=5),1,0),IF(Input!I40=(VLOOKUP(Input!H40,Table5[#All],PTKEY,TRUE)),1,0)))</f>
        <v>0</v>
      </c>
      <c r="S34" s="93">
        <v>31</v>
      </c>
      <c r="T34" s="93">
        <f>IF(PTKEY=2,IF(AND('PT 1 Skill Tables'!F35=1,'PT 1 Skill Tables'!E35=1),1,0),IF(PTKEY=3,IF(AND('PT 2 Skill Tables'!F35=1,'PT 2 Skill Tables'!E35=1),1,0),IF(PTKEY=4,IF(AND('PT 3 Skill Tables'!F35=1,'PT 3 Skill Tables'!E35=1),1,0),IF(PTKEY=5,IF(AND('PT 4 Skill Tables'!F35=1,'PT 4 Skill Tables'!E35=1),1,0),IF(PTKEY=6,IF(AND('PT 5 Skill Tables'!F35=1,'PT 5 Skill Tables'!E35=1),1,0),IF(PTKEY=7,IF(AND('PT 6 Skill Tables'!F35=1,'PT 6 Skill Tables'!E35=1),1,0),""))))))</f>
        <v>0</v>
      </c>
      <c r="U34" s="93">
        <f>IF(PTKEY=2,IF(AND('PT 1 Skill Tables'!O35=1,'PT 1 Skill Tables'!N35=1),1,0),IF(PTKEY=3,IF(AND('PT 2 Skill Tables'!O35=1,'PT 2 Skill Tables'!N35=1),1,0),IF(PTKEY=4,IF(AND('PT 3 Skill Tables'!O35=1,'PT 3 Skill Tables'!N35=1),1,0),IF(PTKEY=5,IF(AND('PT 4 Skill Tables'!O35=1,'PT 4 Skill Tables'!N35=1),1,0),IF(PTKEY=6,IF(AND('PT 5 Skill Tables'!O35=1,'PT 5 Skill Tables'!N35=1),1,0),IF(PTKEY=7,IF(AND('PT 6 Skill Tables'!O35=1,'PT 6 Skill Tables'!N35=1),1,0),""))))))</f>
        <v>0</v>
      </c>
      <c r="W34" s="93">
        <v>31</v>
      </c>
      <c r="X34" s="93">
        <f>IF(PTKEY=2,IF(AND('PT 1 Skill Tables'!G35=1,'PT 1 Skill Tables'!E35=1),1,0),IF(PTKEY=3,IF(AND('PT 2 Skill Tables'!G35=1,'PT 2 Skill Tables'!E35=1),1,0),IF(PTKEY=4,IF(AND('PT 3 Skill Tables'!G35=1,'PT 3 Skill Tables'!E35=1),1,0),IF(PTKEY=5,IF(AND('PT 4 Skill Tables'!G35=1,'PT 4 Skill Tables'!E35=1),1,0),IF(PTKEY=6,IF(AND('PT 5 Skill Tables'!G35=1,'PT 5 Skill Tables'!E35=1),1,0),IF(PTKEY=7,IF(AND('PT 6 Skill Tables'!G35=1,'PT 6 Skill Tables'!E35=1),1,0),""))))))</f>
        <v>0</v>
      </c>
      <c r="Y34" s="93">
        <f>IF(PTKEY=2,IF(AND('PT 1 Skill Tables'!P35=1,'PT 1 Skill Tables'!N35=1),1,0),IF(PTKEY=3,IF(AND('PT 2 Skill Tables'!P35=1,'PT 2 Skill Tables'!N35=1),1,0),IF(PTKEY=4,IF(AND('PT 3 Skill Tables'!P35=1,'PT 3 Skill Tables'!N35=1),1,0),IF(PTKEY=5,IF(AND('PT 4 Skill Tables'!P35=1,'PT 4 Skill Tables'!N35=1),1,0),IF(PTKEY=6,IF(AND('PT 5 Skill Tables'!P35=1,'PT 5 Skill Tables'!N35=1),1,0),IF(PTKEY=7,IF(AND('PT 6 Skill Tables'!P35=1,'PT 6 Skill Tables'!N35=1),1,0),""))))))</f>
        <v>0</v>
      </c>
      <c r="AA34" s="135">
        <v>31</v>
      </c>
      <c r="AB34" s="93">
        <f>IF(PTKEY=2, IF(AND('PT 1 Skill Tables'!H35=1,'PT 1 Skill Tables'!E35=1), 1, 0), IF(PTKEY=3,IF(AND('PT 2 Skill Tables'!H35=1,'PT 2 Skill Tables'!E35=1), 1, 0),IF(PTKEY=4,IF(AND('PT 3 Skill Tables'!H35=1,'PT 3 Skill Tables'!E35=1), 1, 0), IF(PTKEY=5,IF(AND('PT 4 Skill Tables'!H35=1,'PT 4 Skill Tables'!E35=1), 1, 0),IF(PTKEY=6,IF(AND('PT 5 Skill Tables'!H35=1,'PT 5 Skill Tables'!E35=1),1,0),IF(PTKEY=7,IF(AND('PT 6 Skill Tables'!H35=1,'PT 6 Skill Tables'!E35=1),1,0),""))))))</f>
        <v>0</v>
      </c>
      <c r="AC34" s="93">
        <f>IF(PTKEY=2, IF(AND('PT 1 Skill Tables'!Q35=1,'PT 1 Skill Tables'!N35=1), 1, 0), IF(PTKEY=3,IF(AND('PT 2 Skill Tables'!Q35=1,'PT 2 Skill Tables'!N35=1), 1, 0),IF(PTKEY=4,IF(AND('PT 3 Skill Tables'!Q35=1,'PT 3 Skill Tables'!N35=1), 1, 0), IF(PTKEY=5,IF(AND('PT 4 Skill Tables'!Q35=1,'PT 4 Skill Tables'!N35=1), 1, 0),IF(PTKEY=6,IF(AND('PT 5 Skill Tables'!Q35=1,'PT 5 Skill Tables'!N35=1),1,0),IF(PTKEY=7,IF(AND('PT 6 Skill Tables'!Q35=1,'PT 6 Skill Tables'!N35=1),1,0),""))))))</f>
        <v>0</v>
      </c>
      <c r="AD34" s="93">
        <f>IF(PTKEY=2, IF(AND('PT 1 Skill Tables'!X35=1,'PT 1 Skill Tables'!W35=1), 1, 0), IF(PTKEY=3,IF(AND('PT 2 Skill Tables'!X35=1,'PT 2 Skill Tables'!W35=1), 1, 0),IF(PTKEY=4,IF(AND('PT 3 Skill Tables'!X35=1,'PT 3 Skill Tables'!W35=1), 1, 0),IF(PTKEY=5,IF(AND('PT 4 Skill Tables'!X35=1,'PT 4 Skill Tables'!W35=1), 1, 0),IF(PTKEY=6,IF(AND('PT 5 Skill Tables'!X35=1,'PT 5 Skill Tables'!W35=1),1,0), IF(PTKEY=7,IF(AND('PT 6 Skill Tables'!X35=1,'PT 6 Skill Tables'!W35=1),1,0),""))))))</f>
        <v>0</v>
      </c>
      <c r="AE34" s="93">
        <f>IF(PTKEY=2, IF(AND('PT 1 Skill Tables'!AE35=1,'PT 1 Skill Tables'!AD35=1), 1, 0), IF(PTKEY=3,IF(AND('PT 2 Skill Tables'!AE35=1,'PT 2 Skill Tables'!AD35=1), 1, 0),IF(PTKEY=4,IF(AND('PT 3 Skill Tables'!AE35=1,'PT 3 Skill Tables'!AD35=1), 1, 0),IF(PTKEY=5,IF(AND('PT 4 Skill Tables'!AE35=1,'PT 4 Skill Tables'!AD35=1), 1, 0),IF(PTKEY=6,IF(AND('PT 5 Skill Tables'!AE35=1,'PT 5 Skill Tables'!AD35=1),1,0),IF(PTKEY=7,IF(AND('PT 6 Skill Tables'!AE35=1,'PT 6 Skill Tables'!AD35=1),1,0),""))))))</f>
        <v>0</v>
      </c>
      <c r="AG34" s="93">
        <v>31</v>
      </c>
      <c r="AH34" s="93">
        <f>IF(PTKEY=2, IF(AND('PT 1 Skill Tables'!I35=1,'PT 1 Skill Tables'!E35=1), 1, 0), IF(PTKEY=3,IF(AND('PT 2 Skill Tables'!I35=1,'PT 2 Skill Tables'!E35=1), 1, 0), IF(PTKEY=4,IF(AND('PT 3 Skill Tables'!I35=1,'PT 3 Skill Tables'!E35=1), 1, 0),IF(PTKEY=5,IF(AND('PT 4 Skill Tables'!I35=1,'PT 4 Skill Tables'!E35=1), 1, 0),IF(PTKEY=6,IF(AND('PT 5 Skill Tables'!I35=1,'PT 5 Skill Tables'!E35=1),1,0),IF(PTKEY=7,IF(AND('PT 6 Skill Tables'!I35=1,'PT 6 Skill Tables'!E35=1),1,0),""))))))</f>
        <v>0</v>
      </c>
      <c r="AI34" s="93">
        <f>IF(PTKEY=2,IF(AND('PT 1 Skill Tables'!R35=1,'PT 1 Skill Tables'!N35=1),1,0),IF(PTKEY=3,IF(AND('PT 2 Skill Tables'!R35=1,'PT 2 Skill Tables'!N35=1),1,0),IF(PTKEY=4,IF(AND('PT 3 Skill Tables'!R35=1,'PT 3 Skill Tables'!N35=1),1,0),IF(PTKEY=5,IF(AND('PT 4 Skill Tables'!R35=1,'PT 4 Skill Tables'!N35=1),1,0),IF(PTKEY=6,IF(AND('PT 5 Skill Tables'!R35=1,'PT 5 Skill Tables'!N35=1),1,0),IF(PTKEY=7,IF(AND('PT 6 Skill Tables'!R35=1,'PT 6 Skill Tables'!N35=1),1,0),""))))))</f>
        <v>0</v>
      </c>
      <c r="AJ34" s="93">
        <f>IF(PTKEY=2,IF(AND('PT 1 Skill Tables'!Y35=1,'PT 1 Skill Tables'!W35=1),1,0),IF(PTKEY=3,IF(AND('PT 2 Skill Tables'!Y35=1,'PT 2 Skill Tables'!W35=1),1,0),IF(PTKEY=4,IF(AND('PT 3 Skill Tables'!Y35=1,'PT 3 Skill Tables'!W35=1),1,0),IF(PTKEY=5,IF(AND('PT 4 Skill Tables'!Y35=1,'PT 4 Skill Tables'!W35=1),1,0),IF(PTKEY=6,IF(AND('PT 5 Skill Tables'!Y35=1,'PT 5 Skill Tables'!W35=1),1,0),IF(PTKEY=7,IF(AND('PT 6 Skill Tables'!Y35=1,'PT 6 Skill Tables'!W35=1),1,0),""))))))</f>
        <v>0</v>
      </c>
      <c r="AK34" s="93">
        <f>IF(PTKEY=2,IF(AND('PT 1 Skill Tables'!AF35=1,'PT 1 Skill Tables'!AD35=1),1,0),IF(PTKEY=3,IF(AND('PT 2 Skill Tables'!AF35=1,'PT 2 Skill Tables'!AD35=1),1,0),IF(PTKEY=4,IF(AND('PT 3 Skill Tables'!AF35=1,'PT 3 Skill Tables'!AD35=1),1,0),IF(PTKEY=5,IF(AND('PT 4 Skill Tables'!AF35=1,'PT 4 Skill Tables'!AD35=1),1,0),IF(PTKEY=6,IF(AND('PT 5 Skill Tables'!AF35=1,'PT 5 Skill Tables'!AD35=1),1,0),IF(PTKEY=7,IF(AND('PT 6 Skill Tables'!AF35=1,'PT 6 Skill Tables'!AD35=1),1,0),""))))))</f>
        <v>0</v>
      </c>
    </row>
    <row r="35" spans="7:37">
      <c r="G35" s="158">
        <v>32</v>
      </c>
      <c r="H35" s="159">
        <f>IF(Input!C41=(VLOOKUP(Input!B41,Table2[#All],PTKEY,TRUE)), 1, 0)</f>
        <v>0</v>
      </c>
      <c r="J35" s="158">
        <v>32</v>
      </c>
      <c r="K35" s="159">
        <f>IF(Input!E41=(VLOOKUP(Input!D41,Table3[#All],PTKEY,TRUE)), 1, 0)</f>
        <v>0</v>
      </c>
      <c r="P35" s="158">
        <v>32</v>
      </c>
      <c r="Q35" s="159">
        <f>IF(Input!I41=(VLOOKUP(Input!H41,Table5[#All],PTKEY,TRUE)), 1, 0)</f>
        <v>0</v>
      </c>
      <c r="S35" s="93">
        <v>32</v>
      </c>
      <c r="T35" s="93">
        <f>IF(PTKEY=2,IF(AND('PT 1 Skill Tables'!F36=1,'PT 1 Skill Tables'!E36=1),1,0),IF(PTKEY=3,IF(AND('PT 2 Skill Tables'!F36=1,'PT 2 Skill Tables'!E36=1),1,0),IF(PTKEY=4,IF(AND('PT 3 Skill Tables'!F36=1,'PT 3 Skill Tables'!E36=1),1,0),IF(PTKEY=5,IF(AND('PT 4 Skill Tables'!F36=1,'PT 4 Skill Tables'!E36=1),1,0),IF(PTKEY=6,IF(AND('PT 5 Skill Tables'!F36=1,'PT 5 Skill Tables'!E36=1),1,0),IF(PTKEY=7,IF(AND('PT 6 Skill Tables'!F36=1,'PT 6 Skill Tables'!E36=1),1,0),""))))))</f>
        <v>0</v>
      </c>
      <c r="U35" s="93">
        <f>IF(PTKEY=2,IF(AND('PT 1 Skill Tables'!O36=1,'PT 1 Skill Tables'!N36=1),1,0),IF(PTKEY=3,IF(AND('PT 2 Skill Tables'!O36=1,'PT 2 Skill Tables'!N36=1),1,0),IF(PTKEY=4,IF(AND('PT 3 Skill Tables'!O36=1,'PT 3 Skill Tables'!N36=1),1,0),IF(PTKEY=5,IF(AND('PT 4 Skill Tables'!O36=1,'PT 4 Skill Tables'!N36=1),1,0),IF(PTKEY=6,IF(AND('PT 5 Skill Tables'!O36=1,'PT 5 Skill Tables'!N36=1),1,0),IF(PTKEY=7,IF(AND('PT 6 Skill Tables'!O36=1,'PT 6 Skill Tables'!N36=1),1,0),""))))))</f>
        <v>0</v>
      </c>
      <c r="W35" s="93">
        <v>32</v>
      </c>
      <c r="X35" s="93">
        <f>IF(PTKEY=2,IF(AND('PT 1 Skill Tables'!G36=1,'PT 1 Skill Tables'!E36=1),1,0),IF(PTKEY=3,IF(AND('PT 2 Skill Tables'!G36=1,'PT 2 Skill Tables'!E36=1),1,0),IF(PTKEY=4,IF(AND('PT 3 Skill Tables'!G36=1,'PT 3 Skill Tables'!E36=1),1,0),IF(PTKEY=5,IF(AND('PT 4 Skill Tables'!G36=1,'PT 4 Skill Tables'!E36=1),1,0),IF(PTKEY=6,IF(AND('PT 5 Skill Tables'!G36=1,'PT 5 Skill Tables'!E36=1),1,0),IF(PTKEY=7,IF(AND('PT 6 Skill Tables'!G36=1,'PT 6 Skill Tables'!E36=1),1,0),""))))))</f>
        <v>0</v>
      </c>
      <c r="Y35" s="93">
        <f>IF(PTKEY=2,IF(AND('PT 1 Skill Tables'!P36=1,'PT 1 Skill Tables'!N36=1),1,0),IF(PTKEY=3,IF(AND('PT 2 Skill Tables'!P36=1,'PT 2 Skill Tables'!N36=1),1,0),IF(PTKEY=4,IF(AND('PT 3 Skill Tables'!P36=1,'PT 3 Skill Tables'!N36=1),1,0),IF(PTKEY=5,IF(AND('PT 4 Skill Tables'!P36=1,'PT 4 Skill Tables'!N36=1),1,0),IF(PTKEY=6,IF(AND('PT 5 Skill Tables'!P36=1,'PT 5 Skill Tables'!N36=1),1,0),IF(PTKEY=7,IF(AND('PT 6 Skill Tables'!P36=1,'PT 6 Skill Tables'!N36=1),1,0),""))))))</f>
        <v>0</v>
      </c>
      <c r="AA35" s="136">
        <v>32</v>
      </c>
      <c r="AB35" s="93">
        <f>IF(PTKEY=2, IF(AND('PT 1 Skill Tables'!H36=1,'PT 1 Skill Tables'!E36=1), 1, 0), IF(PTKEY=3,IF(AND('PT 2 Skill Tables'!H36=1,'PT 2 Skill Tables'!E36=1), 1, 0),IF(PTKEY=4,IF(AND('PT 3 Skill Tables'!H36=1,'PT 3 Skill Tables'!E36=1), 1, 0), IF(PTKEY=5,IF(AND('PT 4 Skill Tables'!H36=1,'PT 4 Skill Tables'!E36=1), 1, 0),IF(PTKEY=6,IF(AND('PT 5 Skill Tables'!H36=1,'PT 5 Skill Tables'!E36=1),1,0),IF(PTKEY=7,IF(AND('PT 6 Skill Tables'!H36=1,'PT 6 Skill Tables'!E36=1),1,0),""))))))</f>
        <v>0</v>
      </c>
      <c r="AC35" s="93">
        <f>IF(PTKEY=2, IF(AND('PT 1 Skill Tables'!Q36=1,'PT 1 Skill Tables'!N36=1), 1, 0), IF(PTKEY=3,IF(AND('PT 2 Skill Tables'!Q36=1,'PT 2 Skill Tables'!N36=1), 1, 0),IF(PTKEY=4,IF(AND('PT 3 Skill Tables'!Q36=1,'PT 3 Skill Tables'!N36=1), 1, 0), IF(PTKEY=5,IF(AND('PT 4 Skill Tables'!Q36=1,'PT 4 Skill Tables'!N36=1), 1, 0),IF(PTKEY=6,IF(AND('PT 5 Skill Tables'!Q36=1,'PT 5 Skill Tables'!N36=1),1,0),IF(PTKEY=7,IF(AND('PT 6 Skill Tables'!Q36=1,'PT 6 Skill Tables'!N36=1),1,0),""))))))</f>
        <v>0</v>
      </c>
      <c r="AD35" s="93">
        <f>IF(PTKEY=2, IF(AND('PT 1 Skill Tables'!X36=1,'PT 1 Skill Tables'!W36=1), 1, 0), IF(PTKEY=3,IF(AND('PT 2 Skill Tables'!X36=1,'PT 2 Skill Tables'!W36=1), 1, 0),IF(PTKEY=4,IF(AND('PT 3 Skill Tables'!X36=1,'PT 3 Skill Tables'!W36=1), 1, 0),IF(PTKEY=5,IF(AND('PT 4 Skill Tables'!X36=1,'PT 4 Skill Tables'!W36=1), 1, 0),IF(PTKEY=6,IF(AND('PT 5 Skill Tables'!X36=1,'PT 5 Skill Tables'!W36=1),1,0), IF(PTKEY=7,IF(AND('PT 6 Skill Tables'!X36=1,'PT 6 Skill Tables'!W36=1),1,0),""))))))</f>
        <v>0</v>
      </c>
      <c r="AE35" s="93">
        <f>IF(PTKEY=2, IF(AND('PT 1 Skill Tables'!AE36=1,'PT 1 Skill Tables'!AD36=1), 1, 0), IF(PTKEY=3,IF(AND('PT 2 Skill Tables'!AE36=1,'PT 2 Skill Tables'!AD36=1), 1, 0),IF(PTKEY=4,IF(AND('PT 3 Skill Tables'!AE36=1,'PT 3 Skill Tables'!AD36=1), 1, 0),IF(PTKEY=5,IF(AND('PT 4 Skill Tables'!AE36=1,'PT 4 Skill Tables'!AD36=1), 1, 0),IF(PTKEY=6,IF(AND('PT 5 Skill Tables'!AE36=1,'PT 5 Skill Tables'!AD36=1),1,0),IF(PTKEY=7,IF(AND('PT 6 Skill Tables'!AE36=1,'PT 6 Skill Tables'!AD36=1),1,0),""))))))</f>
        <v>0</v>
      </c>
      <c r="AG35" s="93">
        <v>32</v>
      </c>
      <c r="AH35" s="93">
        <f>IF(PTKEY=2, IF(AND('PT 1 Skill Tables'!I36=1,'PT 1 Skill Tables'!E36=1), 1, 0), IF(PTKEY=3,IF(AND('PT 2 Skill Tables'!I36=1,'PT 2 Skill Tables'!E36=1), 1, 0), IF(PTKEY=4,IF(AND('PT 3 Skill Tables'!I36=1,'PT 3 Skill Tables'!E36=1), 1, 0),IF(PTKEY=5,IF(AND('PT 4 Skill Tables'!I36=1,'PT 4 Skill Tables'!E36=1), 1, 0),IF(PTKEY=6,IF(AND('PT 5 Skill Tables'!I36=1,'PT 5 Skill Tables'!E36=1),1,0),IF(PTKEY=7,IF(AND('PT 6 Skill Tables'!I36=1,'PT 6 Skill Tables'!E36=1),1,0),""))))))</f>
        <v>0</v>
      </c>
      <c r="AI35" s="93">
        <f>IF(PTKEY=2,IF(AND('PT 1 Skill Tables'!R36=1,'PT 1 Skill Tables'!N36=1),1,0),IF(PTKEY=3,IF(AND('PT 2 Skill Tables'!R36=1,'PT 2 Skill Tables'!N36=1),1,0),IF(PTKEY=4,IF(AND('PT 3 Skill Tables'!R36=1,'PT 3 Skill Tables'!N36=1),1,0),IF(PTKEY=5,IF(AND('PT 4 Skill Tables'!R36=1,'PT 4 Skill Tables'!N36=1),1,0),IF(PTKEY=6,IF(AND('PT 5 Skill Tables'!R36=1,'PT 5 Skill Tables'!N36=1),1,0),IF(PTKEY=7,IF(AND('PT 6 Skill Tables'!R36=1,'PT 6 Skill Tables'!N36=1),1,0),""))))))</f>
        <v>0</v>
      </c>
      <c r="AJ35" s="93">
        <f>IF(PTKEY=2,IF(AND('PT 1 Skill Tables'!Y36=1,'PT 1 Skill Tables'!W36=1),1,0),IF(PTKEY=3,IF(AND('PT 2 Skill Tables'!Y36=1,'PT 2 Skill Tables'!W36=1),1,0),IF(PTKEY=4,IF(AND('PT 3 Skill Tables'!Y36=1,'PT 3 Skill Tables'!W36=1),1,0),IF(PTKEY=5,IF(AND('PT 4 Skill Tables'!Y36=1,'PT 4 Skill Tables'!W36=1),1,0),IF(PTKEY=6,IF(AND('PT 5 Skill Tables'!Y36=1,'PT 5 Skill Tables'!W36=1),1,0),IF(PTKEY=7,IF(AND('PT 6 Skill Tables'!Y36=1,'PT 6 Skill Tables'!W36=1),1,0),""))))))</f>
        <v>0</v>
      </c>
      <c r="AK35" s="93">
        <f>IF(PTKEY=2,IF(AND('PT 1 Skill Tables'!AF36=1,'PT 1 Skill Tables'!AD36=1),1,0),IF(PTKEY=3,IF(AND('PT 2 Skill Tables'!AF36=1,'PT 2 Skill Tables'!AD36=1),1,0),IF(PTKEY=4,IF(AND('PT 3 Skill Tables'!AF36=1,'PT 3 Skill Tables'!AD36=1),1,0),IF(PTKEY=5,IF(AND('PT 4 Skill Tables'!AF36=1,'PT 4 Skill Tables'!AD36=1),1,0),IF(PTKEY=6,IF(AND('PT 5 Skill Tables'!AF36=1,'PT 5 Skill Tables'!AD36=1),1,0),IF(PTKEY=7,IF(AND('PT 6 Skill Tables'!AF36=1,'PT 6 Skill Tables'!AD36=1),1,0),""))))))</f>
        <v>0</v>
      </c>
    </row>
    <row r="36" spans="7:37">
      <c r="G36" s="160">
        <v>33</v>
      </c>
      <c r="H36" s="159">
        <f>IF(Input!C42=(VLOOKUP(Input!B42,Table2[#All],PTKEY,TRUE)), 1, 0)</f>
        <v>0</v>
      </c>
      <c r="J36" s="160">
        <v>33</v>
      </c>
      <c r="K36" s="159">
        <f>IF(Input!E42=(VLOOKUP(Input!D42,Table3[#All],PTKEY,TRUE)), 1, 0)</f>
        <v>0</v>
      </c>
      <c r="P36" s="160">
        <v>33</v>
      </c>
      <c r="Q36" s="159">
        <f>IF(PTKEY=7,IF(OR(Input!I42=97,Input!I42=98,Input!I42=99,Input!I42=100,Input!I42=101),1,0),IF(Input!I42=(VLOOKUP(Input!H42,Table5[#All],PTKEY,TRUE)), 1, 0))</f>
        <v>0</v>
      </c>
      <c r="S36" s="93">
        <v>33</v>
      </c>
      <c r="T36" s="93">
        <f>IF(PTKEY=2,IF(AND('PT 1 Skill Tables'!F37=1,'PT 1 Skill Tables'!E37=1),1,0),IF(PTKEY=3,IF(AND('PT 2 Skill Tables'!F37=1,'PT 2 Skill Tables'!E37=1),1,0),IF(PTKEY=4,IF(AND('PT 3 Skill Tables'!F37=1,'PT 3 Skill Tables'!E37=1),1,0),IF(PTKEY=5,IF(AND('PT 4 Skill Tables'!F37=1,'PT 4 Skill Tables'!E37=1),1,0),IF(PTKEY=6,IF(AND('PT 5 Skill Tables'!F37=1,'PT 5 Skill Tables'!E37=1),1,0),IF(PTKEY=7,IF(AND('PT 6 Skill Tables'!F37=1,'PT 6 Skill Tables'!E37=1),1,0),""))))))</f>
        <v>0</v>
      </c>
      <c r="U36" s="93">
        <f>IF(PTKEY=2,IF(AND('PT 1 Skill Tables'!O37=1,'PT 1 Skill Tables'!N37=1),1,0),IF(PTKEY=3,IF(AND('PT 2 Skill Tables'!O37=1,'PT 2 Skill Tables'!N37=1),1,0),IF(PTKEY=4,IF(AND('PT 3 Skill Tables'!O37=1,'PT 3 Skill Tables'!N37=1),1,0),IF(PTKEY=5,IF(AND('PT 4 Skill Tables'!O37=1,'PT 4 Skill Tables'!N37=1),1,0),IF(PTKEY=6,IF(AND('PT 5 Skill Tables'!O37=1,'PT 5 Skill Tables'!N37=1),1,0),IF(PTKEY=7,IF(AND('PT 6 Skill Tables'!O37=1,'PT 6 Skill Tables'!N37=1),1,0),""))))))</f>
        <v>0</v>
      </c>
      <c r="W36" s="93">
        <v>33</v>
      </c>
      <c r="X36" s="93">
        <f>IF(PTKEY=2,IF(AND('PT 1 Skill Tables'!G37=1,'PT 1 Skill Tables'!E37=1),1,0),IF(PTKEY=3,IF(AND('PT 2 Skill Tables'!G37=1,'PT 2 Skill Tables'!E37=1),1,0),IF(PTKEY=4,IF(AND('PT 3 Skill Tables'!G37=1,'PT 3 Skill Tables'!E37=1),1,0),IF(PTKEY=5,IF(AND('PT 4 Skill Tables'!G37=1,'PT 4 Skill Tables'!E37=1),1,0),IF(PTKEY=6,IF(AND('PT 5 Skill Tables'!G37=1,'PT 5 Skill Tables'!E37=1),1,0),IF(PTKEY=7,IF(AND('PT 6 Skill Tables'!G37=1,'PT 6 Skill Tables'!E37=1),1,0),""))))))</f>
        <v>0</v>
      </c>
      <c r="Y36" s="93">
        <f>IF(PTKEY=2,IF(AND('PT 1 Skill Tables'!P37=1,'PT 1 Skill Tables'!N37=1),1,0),IF(PTKEY=3,IF(AND('PT 2 Skill Tables'!P37=1,'PT 2 Skill Tables'!N37=1),1,0),IF(PTKEY=4,IF(AND('PT 3 Skill Tables'!P37=1,'PT 3 Skill Tables'!N37=1),1,0),IF(PTKEY=5,IF(AND('PT 4 Skill Tables'!P37=1,'PT 4 Skill Tables'!N37=1),1,0),IF(PTKEY=6,IF(AND('PT 5 Skill Tables'!P37=1,'PT 5 Skill Tables'!N37=1),1,0),IF(PTKEY=7,IF(AND('PT 6 Skill Tables'!P37=1,'PT 6 Skill Tables'!N37=1),1,0),""))))))</f>
        <v>0</v>
      </c>
      <c r="AA36" s="135">
        <v>33</v>
      </c>
      <c r="AB36" s="93">
        <f>IF(PTKEY=2, IF(AND('PT 1 Skill Tables'!H37=1,'PT 1 Skill Tables'!E37=1), 1, 0), IF(PTKEY=3,IF(AND('PT 2 Skill Tables'!H37=1,'PT 2 Skill Tables'!E37=1), 1, 0),IF(PTKEY=4,IF(AND('PT 3 Skill Tables'!H37=1,'PT 3 Skill Tables'!E37=1), 1, 0), IF(PTKEY=5,IF(AND('PT 4 Skill Tables'!H37=1,'PT 4 Skill Tables'!E37=1), 1, 0),IF(PTKEY=6,IF(AND('PT 5 Skill Tables'!H37=1,'PT 5 Skill Tables'!E37=1),1,0),IF(PTKEY=7,IF(AND('PT 6 Skill Tables'!H37=1,'PT 6 Skill Tables'!E37=1),1,0),""))))))</f>
        <v>0</v>
      </c>
      <c r="AC36" s="93">
        <f>IF(PTKEY=2, IF(AND('PT 1 Skill Tables'!Q37=1,'PT 1 Skill Tables'!N37=1), 1, 0), IF(PTKEY=3,IF(AND('PT 2 Skill Tables'!Q37=1,'PT 2 Skill Tables'!N37=1), 1, 0),IF(PTKEY=4,IF(AND('PT 3 Skill Tables'!Q37=1,'PT 3 Skill Tables'!N37=1), 1, 0), IF(PTKEY=5,IF(AND('PT 4 Skill Tables'!Q37=1,'PT 4 Skill Tables'!N37=1), 1, 0),IF(PTKEY=6,IF(AND('PT 5 Skill Tables'!Q37=1,'PT 5 Skill Tables'!N37=1),1,0),IF(PTKEY=7,IF(AND('PT 6 Skill Tables'!Q37=1,'PT 6 Skill Tables'!N37=1),1,0),""))))))</f>
        <v>0</v>
      </c>
      <c r="AD36" s="93">
        <f>IF(PTKEY=2, IF(AND('PT 1 Skill Tables'!X37=1,'PT 1 Skill Tables'!W37=1), 1, 0), IF(PTKEY=3,IF(AND('PT 2 Skill Tables'!X37=1,'PT 2 Skill Tables'!W37=1), 1, 0),IF(PTKEY=4,IF(AND('PT 3 Skill Tables'!X37=1,'PT 3 Skill Tables'!W37=1), 1, 0),IF(PTKEY=5,IF(AND('PT 4 Skill Tables'!X37=1,'PT 4 Skill Tables'!W37=1), 1, 0),IF(PTKEY=6,IF(AND('PT 5 Skill Tables'!X37=1,'PT 5 Skill Tables'!W37=1),1,0), IF(PTKEY=7,IF(AND('PT 6 Skill Tables'!X37=1,'PT 6 Skill Tables'!W37=1),1,0),""))))))</f>
        <v>0</v>
      </c>
      <c r="AE36" s="93">
        <f>IF(PTKEY=2, IF(AND('PT 1 Skill Tables'!AE37=1,'PT 1 Skill Tables'!AD37=1), 1, 0), IF(PTKEY=3,IF(AND('PT 2 Skill Tables'!AE37=1,'PT 2 Skill Tables'!AD37=1), 1, 0),IF(PTKEY=4,IF(AND('PT 3 Skill Tables'!AE37=1,'PT 3 Skill Tables'!AD37=1), 1, 0),IF(PTKEY=5,IF(AND('PT 4 Skill Tables'!AE37=1,'PT 4 Skill Tables'!AD37=1), 1, 0),IF(PTKEY=6,IF(AND('PT 5 Skill Tables'!AE37=1,'PT 5 Skill Tables'!AD37=1),1,0),IF(PTKEY=7,IF(AND('PT 6 Skill Tables'!AE37=1,'PT 6 Skill Tables'!AD37=1),1,0),""))))))</f>
        <v>0</v>
      </c>
      <c r="AG36" s="93">
        <v>33</v>
      </c>
      <c r="AH36" s="93">
        <f>IF(PTKEY=2, IF(AND('PT 1 Skill Tables'!I37=1,'PT 1 Skill Tables'!E37=1), 1, 0), IF(PTKEY=3,IF(AND('PT 2 Skill Tables'!I37=1,'PT 2 Skill Tables'!E37=1), 1, 0), IF(PTKEY=4,IF(AND('PT 3 Skill Tables'!I37=1,'PT 3 Skill Tables'!E37=1), 1, 0),IF(PTKEY=5,IF(AND('PT 4 Skill Tables'!I37=1,'PT 4 Skill Tables'!E37=1), 1, 0),IF(PTKEY=6,IF(AND('PT 5 Skill Tables'!I37=1,'PT 5 Skill Tables'!E37=1),1,0),IF(PTKEY=7,IF(AND('PT 6 Skill Tables'!I37=1,'PT 6 Skill Tables'!E37=1),1,0),""))))))</f>
        <v>0</v>
      </c>
      <c r="AI36" s="93">
        <f>IF(PTKEY=2,IF(AND('PT 1 Skill Tables'!R37=1,'PT 1 Skill Tables'!N37=1),1,0),IF(PTKEY=3,IF(AND('PT 2 Skill Tables'!R37=1,'PT 2 Skill Tables'!N37=1),1,0),IF(PTKEY=4,IF(AND('PT 3 Skill Tables'!R37=1,'PT 3 Skill Tables'!N37=1),1,0),IF(PTKEY=5,IF(AND('PT 4 Skill Tables'!R37=1,'PT 4 Skill Tables'!N37=1),1,0),IF(PTKEY=6,IF(AND('PT 5 Skill Tables'!R37=1,'PT 5 Skill Tables'!N37=1),1,0),IF(PTKEY=7,IF(AND('PT 6 Skill Tables'!R37=1,'PT 6 Skill Tables'!N37=1),1,0),""))))))</f>
        <v>0</v>
      </c>
      <c r="AJ36" s="93">
        <f>IF(PTKEY=2,IF(AND('PT 1 Skill Tables'!Y37=1,'PT 1 Skill Tables'!W37=1),1,0),IF(PTKEY=3,IF(AND('PT 2 Skill Tables'!Y37=1,'PT 2 Skill Tables'!W37=1),1,0),IF(PTKEY=4,IF(AND('PT 3 Skill Tables'!Y37=1,'PT 3 Skill Tables'!W37=1),1,0),IF(PTKEY=5,IF(AND('PT 4 Skill Tables'!Y37=1,'PT 4 Skill Tables'!W37=1),1,0),IF(PTKEY=6,IF(AND('PT 5 Skill Tables'!Y37=1,'PT 5 Skill Tables'!W37=1),1,0),IF(PTKEY=7,IF(AND('PT 6 Skill Tables'!Y37=1,'PT 6 Skill Tables'!W37=1),1,0),""))))))</f>
        <v>0</v>
      </c>
      <c r="AK36" s="93">
        <f>IF(PTKEY=2,IF(AND('PT 1 Skill Tables'!AF37=1,'PT 1 Skill Tables'!AD37=1),1,0),IF(PTKEY=3,IF(AND('PT 2 Skill Tables'!AF37=1,'PT 2 Skill Tables'!AD37=1),1,0),IF(PTKEY=4,IF(AND('PT 3 Skill Tables'!AF37=1,'PT 3 Skill Tables'!AD37=1),1,0),IF(PTKEY=5,IF(AND('PT 4 Skill Tables'!AF37=1,'PT 4 Skill Tables'!AD37=1),1,0),IF(PTKEY=6,IF(AND('PT 5 Skill Tables'!AF37=1,'PT 5 Skill Tables'!AD37=1),1,0),IF(PTKEY=7,IF(AND('PT 6 Skill Tables'!AF37=1,'PT 6 Skill Tables'!AD37=1),1,0),""))))))</f>
        <v>0</v>
      </c>
    </row>
    <row r="37" spans="7:37">
      <c r="G37" s="158">
        <v>34</v>
      </c>
      <c r="H37" s="159">
        <f>IF(Input!C43=(VLOOKUP(Input!B43,Table2[#All],PTKEY,TRUE)), 1, 0)</f>
        <v>0</v>
      </c>
      <c r="J37" s="158">
        <v>34</v>
      </c>
      <c r="K37" s="159">
        <f>IF(Input!E43=(VLOOKUP(Input!D43,Table3[#All],PTKEY,TRUE)), 1, 0)</f>
        <v>0</v>
      </c>
      <c r="P37" s="158">
        <v>34</v>
      </c>
      <c r="Q37" s="159">
        <f>IF(Input!I43=(VLOOKUP(Input!H43,Table5[#All],PTKEY,TRUE)), 1, 0)</f>
        <v>0</v>
      </c>
      <c r="S37" s="93">
        <v>34</v>
      </c>
      <c r="T37" s="93">
        <f>IF(PTKEY=2,IF(AND('PT 1 Skill Tables'!F38=1,'PT 1 Skill Tables'!E38=1),1,0),IF(PTKEY=3,IF(AND('PT 2 Skill Tables'!F38=1,'PT 2 Skill Tables'!E38=1),1,0),IF(PTKEY=4,IF(AND('PT 3 Skill Tables'!F38=1,'PT 3 Skill Tables'!E38=1),1,0),IF(PTKEY=5,IF(AND('PT 4 Skill Tables'!F38=1,'PT 4 Skill Tables'!E38=1),1,0),IF(PTKEY=6,IF(AND('PT 5 Skill Tables'!F38=1,'PT 5 Skill Tables'!E38=1),1,0),IF(PTKEY=7,IF(AND('PT 6 Skill Tables'!F38=1,'PT 6 Skill Tables'!E38=1),1,0),""))))))</f>
        <v>0</v>
      </c>
      <c r="U37" s="93">
        <f>IF(PTKEY=2,IF(AND('PT 1 Skill Tables'!O38=1,'PT 1 Skill Tables'!N38=1),1,0),IF(PTKEY=3,IF(AND('PT 2 Skill Tables'!O38=1,'PT 2 Skill Tables'!N38=1),1,0),IF(PTKEY=4,IF(AND('PT 3 Skill Tables'!O38=1,'PT 3 Skill Tables'!N38=1),1,0),IF(PTKEY=5,IF(AND('PT 4 Skill Tables'!O38=1,'PT 4 Skill Tables'!N38=1),1,0),IF(PTKEY=6,IF(AND('PT 5 Skill Tables'!O38=1,'PT 5 Skill Tables'!N38=1),1,0),IF(PTKEY=7,IF(AND('PT 6 Skill Tables'!O38=1,'PT 6 Skill Tables'!N38=1),1,0),""))))))</f>
        <v>0</v>
      </c>
      <c r="W37" s="93">
        <v>34</v>
      </c>
      <c r="X37" s="93">
        <f>IF(PTKEY=2,IF(AND('PT 1 Skill Tables'!G38=1,'PT 1 Skill Tables'!E38=1),1,0),IF(PTKEY=3,IF(AND('PT 2 Skill Tables'!G38=1,'PT 2 Skill Tables'!E38=1),1,0),IF(PTKEY=4,IF(AND('PT 3 Skill Tables'!G38=1,'PT 3 Skill Tables'!E38=1),1,0),IF(PTKEY=5,IF(AND('PT 4 Skill Tables'!G38=1,'PT 4 Skill Tables'!E38=1),1,0),IF(PTKEY=6,IF(AND('PT 5 Skill Tables'!G38=1,'PT 5 Skill Tables'!E38=1),1,0),IF(PTKEY=7,IF(AND('PT 6 Skill Tables'!G38=1,'PT 6 Skill Tables'!E38=1),1,0),""))))))</f>
        <v>0</v>
      </c>
      <c r="Y37" s="93">
        <f>IF(PTKEY=2,IF(AND('PT 1 Skill Tables'!P38=1,'PT 1 Skill Tables'!N38=1),1,0),IF(PTKEY=3,IF(AND('PT 2 Skill Tables'!P38=1,'PT 2 Skill Tables'!N38=1),1,0),IF(PTKEY=4,IF(AND('PT 3 Skill Tables'!P38=1,'PT 3 Skill Tables'!N38=1),1,0),IF(PTKEY=5,IF(AND('PT 4 Skill Tables'!P38=1,'PT 4 Skill Tables'!N38=1),1,0),IF(PTKEY=6,IF(AND('PT 5 Skill Tables'!P38=1,'PT 5 Skill Tables'!N38=1),1,0),IF(PTKEY=7,IF(AND('PT 6 Skill Tables'!P38=1,'PT 6 Skill Tables'!N38=1),1,0),""))))))</f>
        <v>0</v>
      </c>
      <c r="AA37" s="136">
        <v>34</v>
      </c>
      <c r="AB37" s="93">
        <f>IF(PTKEY=2, IF(AND('PT 1 Skill Tables'!H38=1,'PT 1 Skill Tables'!E38=1), 1, 0), IF(PTKEY=3,IF(AND('PT 2 Skill Tables'!H38=1,'PT 2 Skill Tables'!E38=1), 1, 0),IF(PTKEY=4,IF(AND('PT 3 Skill Tables'!H38=1,'PT 3 Skill Tables'!E38=1), 1, 0), IF(PTKEY=5,IF(AND('PT 4 Skill Tables'!H38=1,'PT 4 Skill Tables'!E38=1), 1, 0),IF(PTKEY=6,IF(AND('PT 5 Skill Tables'!H38=1,'PT 5 Skill Tables'!E38=1),1,0),IF(PTKEY=7,IF(AND('PT 6 Skill Tables'!H38=1,'PT 6 Skill Tables'!E38=1),1,0),""))))))</f>
        <v>0</v>
      </c>
      <c r="AC37" s="93">
        <f>IF(PTKEY=2, IF(AND('PT 1 Skill Tables'!Q38=1,'PT 1 Skill Tables'!N38=1), 1, 0), IF(PTKEY=3,IF(AND('PT 2 Skill Tables'!Q38=1,'PT 2 Skill Tables'!N38=1), 1, 0),IF(PTKEY=4,IF(AND('PT 3 Skill Tables'!Q38=1,'PT 3 Skill Tables'!N38=1), 1, 0), IF(PTKEY=5,IF(AND('PT 4 Skill Tables'!Q38=1,'PT 4 Skill Tables'!N38=1), 1, 0),IF(PTKEY=6,IF(AND('PT 5 Skill Tables'!Q38=1,'PT 5 Skill Tables'!N38=1),1,0),IF(PTKEY=7,IF(AND('PT 6 Skill Tables'!Q38=1,'PT 6 Skill Tables'!N38=1),1,0),""))))))</f>
        <v>0</v>
      </c>
      <c r="AD37" s="93">
        <f>IF(PTKEY=2, IF(AND('PT 1 Skill Tables'!X38=1,'PT 1 Skill Tables'!W38=1), 1, 0), IF(PTKEY=3,IF(AND('PT 2 Skill Tables'!X38=1,'PT 2 Skill Tables'!W38=1), 1, 0),IF(PTKEY=4,IF(AND('PT 3 Skill Tables'!X38=1,'PT 3 Skill Tables'!W38=1), 1, 0),IF(PTKEY=5,IF(AND('PT 4 Skill Tables'!X38=1,'PT 4 Skill Tables'!W38=1), 1, 0),IF(PTKEY=6,IF(AND('PT 5 Skill Tables'!X38=1,'PT 5 Skill Tables'!W38=1),1,0), IF(PTKEY=7,IF(AND('PT 6 Skill Tables'!X38=1,'PT 6 Skill Tables'!W38=1),1,0),""))))))</f>
        <v>0</v>
      </c>
      <c r="AE37" s="93">
        <f>IF(PTKEY=2, IF(AND('PT 1 Skill Tables'!AE38=1,'PT 1 Skill Tables'!AD38=1), 1, 0), IF(PTKEY=3,IF(AND('PT 2 Skill Tables'!AE38=1,'PT 2 Skill Tables'!AD38=1), 1, 0),IF(PTKEY=4,IF(AND('PT 3 Skill Tables'!AE38=1,'PT 3 Skill Tables'!AD38=1), 1, 0),IF(PTKEY=5,IF(AND('PT 4 Skill Tables'!AE38=1,'PT 4 Skill Tables'!AD38=1), 1, 0),IF(PTKEY=6,IF(AND('PT 5 Skill Tables'!AE38=1,'PT 5 Skill Tables'!AD38=1),1,0),IF(PTKEY=7,IF(AND('PT 6 Skill Tables'!AE38=1,'PT 6 Skill Tables'!AD38=1),1,0),""))))))</f>
        <v>0</v>
      </c>
      <c r="AG37" s="93">
        <v>34</v>
      </c>
      <c r="AH37" s="93">
        <f>IF(PTKEY=2, IF(AND('PT 1 Skill Tables'!I38=1,'PT 1 Skill Tables'!E38=1), 1, 0), IF(PTKEY=3,IF(AND('PT 2 Skill Tables'!I38=1,'PT 2 Skill Tables'!E38=1), 1, 0), IF(PTKEY=4,IF(AND('PT 3 Skill Tables'!I38=1,'PT 3 Skill Tables'!E38=1), 1, 0),IF(PTKEY=5,IF(AND('PT 4 Skill Tables'!I38=1,'PT 4 Skill Tables'!E38=1), 1, 0),IF(PTKEY=6,IF(AND('PT 5 Skill Tables'!I38=1,'PT 5 Skill Tables'!E38=1),1,0),IF(PTKEY=7,IF(AND('PT 6 Skill Tables'!I38=1,'PT 6 Skill Tables'!E38=1),1,0),""))))))</f>
        <v>0</v>
      </c>
      <c r="AI37" s="93">
        <f>IF(PTKEY=2,IF(AND('PT 1 Skill Tables'!R38=1,'PT 1 Skill Tables'!N38=1),1,0),IF(PTKEY=3,IF(AND('PT 2 Skill Tables'!R38=1,'PT 2 Skill Tables'!N38=1),1,0),IF(PTKEY=4,IF(AND('PT 3 Skill Tables'!R38=1,'PT 3 Skill Tables'!N38=1),1,0),IF(PTKEY=5,IF(AND('PT 4 Skill Tables'!R38=1,'PT 4 Skill Tables'!N38=1),1,0),IF(PTKEY=6,IF(AND('PT 5 Skill Tables'!R38=1,'PT 5 Skill Tables'!N38=1),1,0),IF(PTKEY=7,IF(AND('PT 6 Skill Tables'!R38=1,'PT 6 Skill Tables'!N38=1),1,0),""))))))</f>
        <v>0</v>
      </c>
      <c r="AJ37" s="93">
        <f>IF(PTKEY=2,IF(AND('PT 1 Skill Tables'!Y38=1,'PT 1 Skill Tables'!W38=1),1,0),IF(PTKEY=3,IF(AND('PT 2 Skill Tables'!Y38=1,'PT 2 Skill Tables'!W38=1),1,0),IF(PTKEY=4,IF(AND('PT 3 Skill Tables'!Y38=1,'PT 3 Skill Tables'!W38=1),1,0),IF(PTKEY=5,IF(AND('PT 4 Skill Tables'!Y38=1,'PT 4 Skill Tables'!W38=1),1,0),IF(PTKEY=6,IF(AND('PT 5 Skill Tables'!Y38=1,'PT 5 Skill Tables'!W38=1),1,0),IF(PTKEY=7,IF(AND('PT 6 Skill Tables'!Y38=1,'PT 6 Skill Tables'!W38=1),1,0),""))))))</f>
        <v>0</v>
      </c>
      <c r="AK37" s="93">
        <f>IF(PTKEY=2,IF(AND('PT 1 Skill Tables'!AF38=1,'PT 1 Skill Tables'!AD38=1),1,0),IF(PTKEY=3,IF(AND('PT 2 Skill Tables'!AF38=1,'PT 2 Skill Tables'!AD38=1),1,0),IF(PTKEY=4,IF(AND('PT 3 Skill Tables'!AF38=1,'PT 3 Skill Tables'!AD38=1),1,0),IF(PTKEY=5,IF(AND('PT 4 Skill Tables'!AF38=1,'PT 4 Skill Tables'!AD38=1),1,0),IF(PTKEY=6,IF(AND('PT 5 Skill Tables'!AF38=1,'PT 5 Skill Tables'!AD38=1),1,0),IF(PTKEY=7,IF(AND('PT 6 Skill Tables'!AF38=1,'PT 6 Skill Tables'!AD38=1),1,0),""))))))</f>
        <v>0</v>
      </c>
    </row>
    <row r="38" spans="7:37">
      <c r="G38" s="160">
        <v>35</v>
      </c>
      <c r="H38" s="159">
        <f>IF(Input!C44=(VLOOKUP(Input!B44,Table2[#All],PTKEY,TRUE)), 1, 0)</f>
        <v>0</v>
      </c>
      <c r="J38" s="160">
        <v>35</v>
      </c>
      <c r="K38" s="159">
        <f>IF(Input!E44=(VLOOKUP(Input!D44,Table3[#All],PTKEY,TRUE)), 1, 0)</f>
        <v>0</v>
      </c>
      <c r="P38" s="160">
        <v>35</v>
      </c>
      <c r="Q38" s="159">
        <f>IF(Input!I44=(VLOOKUP(Input!H44,Table5[#All],PTKEY,TRUE)), 1, 0)</f>
        <v>0</v>
      </c>
      <c r="S38" s="93">
        <v>35</v>
      </c>
      <c r="T38" s="93">
        <f>IF(PTKEY=2,IF(AND('PT 1 Skill Tables'!F39=1,'PT 1 Skill Tables'!E39=1),1,0),IF(PTKEY=3,IF(AND('PT 2 Skill Tables'!F39=1,'PT 2 Skill Tables'!E39=1),1,0),IF(PTKEY=4,IF(AND('PT 3 Skill Tables'!F39=1,'PT 3 Skill Tables'!E39=1),1,0),IF(PTKEY=5,IF(AND('PT 4 Skill Tables'!F39=1,'PT 4 Skill Tables'!E39=1),1,0),IF(PTKEY=6,IF(AND('PT 5 Skill Tables'!F39=1,'PT 5 Skill Tables'!E39=1),1,0),IF(PTKEY=7,IF(AND('PT 6 Skill Tables'!F39=1,'PT 6 Skill Tables'!E39=1),1,0),""))))))</f>
        <v>0</v>
      </c>
      <c r="U38" s="93">
        <f>IF(PTKEY=2,IF(AND('PT 1 Skill Tables'!O39=1,'PT 1 Skill Tables'!N39=1),1,0),IF(PTKEY=3,IF(AND('PT 2 Skill Tables'!O39=1,'PT 2 Skill Tables'!N39=1),1,0),IF(PTKEY=4,IF(AND('PT 3 Skill Tables'!O39=1,'PT 3 Skill Tables'!N39=1),1,0),IF(PTKEY=5,IF(AND('PT 4 Skill Tables'!O39=1,'PT 4 Skill Tables'!N39=1),1,0),IF(PTKEY=6,IF(AND('PT 5 Skill Tables'!O39=1,'PT 5 Skill Tables'!N39=1),1,0),IF(PTKEY=7,IF(AND('PT 6 Skill Tables'!O39=1,'PT 6 Skill Tables'!N39=1),1,0),""))))))</f>
        <v>0</v>
      </c>
      <c r="W38" s="93">
        <v>35</v>
      </c>
      <c r="X38" s="93">
        <f>IF(PTKEY=2,IF(AND('PT 1 Skill Tables'!G39=1,'PT 1 Skill Tables'!E39=1),1,0),IF(PTKEY=3,IF(AND('PT 2 Skill Tables'!G39=1,'PT 2 Skill Tables'!E39=1),1,0),IF(PTKEY=4,IF(AND('PT 3 Skill Tables'!G39=1,'PT 3 Skill Tables'!E39=1),1,0),IF(PTKEY=5,IF(AND('PT 4 Skill Tables'!G39=1,'PT 4 Skill Tables'!E39=1),1,0),IF(PTKEY=6,IF(AND('PT 5 Skill Tables'!G39=1,'PT 5 Skill Tables'!E39=1),1,0),IF(PTKEY=7,IF(AND('PT 6 Skill Tables'!G39=1,'PT 6 Skill Tables'!E39=1),1,0),""))))))</f>
        <v>0</v>
      </c>
      <c r="Y38" s="93">
        <f>IF(PTKEY=2,IF(AND('PT 1 Skill Tables'!P39=1,'PT 1 Skill Tables'!N39=1),1,0),IF(PTKEY=3,IF(AND('PT 2 Skill Tables'!P39=1,'PT 2 Skill Tables'!N39=1),1,0),IF(PTKEY=4,IF(AND('PT 3 Skill Tables'!P39=1,'PT 3 Skill Tables'!N39=1),1,0),IF(PTKEY=5,IF(AND('PT 4 Skill Tables'!P39=1,'PT 4 Skill Tables'!N39=1),1,0),IF(PTKEY=6,IF(AND('PT 5 Skill Tables'!P39=1,'PT 5 Skill Tables'!N39=1),1,0),IF(PTKEY=7,IF(AND('PT 6 Skill Tables'!P39=1,'PT 6 Skill Tables'!N39=1),1,0),""))))))</f>
        <v>0</v>
      </c>
      <c r="AA38" s="135">
        <v>35</v>
      </c>
      <c r="AB38" s="93">
        <f>IF(PTKEY=2, IF(AND('PT 1 Skill Tables'!H39=1,'PT 1 Skill Tables'!E39=1), 1, 0), IF(PTKEY=3,IF(AND('PT 2 Skill Tables'!H39=1,'PT 2 Skill Tables'!E39=1), 1, 0),IF(PTKEY=4,IF(AND('PT 3 Skill Tables'!H39=1,'PT 3 Skill Tables'!E39=1), 1, 0), IF(PTKEY=5,IF(AND('PT 4 Skill Tables'!H39=1,'PT 4 Skill Tables'!E39=1), 1, 0),IF(PTKEY=6,IF(AND('PT 5 Skill Tables'!H39=1,'PT 5 Skill Tables'!E39=1),1,0),IF(PTKEY=7,IF(AND('PT 6 Skill Tables'!H39=1,'PT 6 Skill Tables'!E39=1),1,0),""))))))</f>
        <v>0</v>
      </c>
      <c r="AC38" s="93">
        <f>IF(PTKEY=2, IF(AND('PT 1 Skill Tables'!Q39=1,'PT 1 Skill Tables'!N39=1), 1, 0), IF(PTKEY=3,IF(AND('PT 2 Skill Tables'!Q39=1,'PT 2 Skill Tables'!N39=1), 1, 0),IF(PTKEY=4,IF(AND('PT 3 Skill Tables'!Q39=1,'PT 3 Skill Tables'!N39=1), 1, 0), IF(PTKEY=5,IF(AND('PT 4 Skill Tables'!Q39=1,'PT 4 Skill Tables'!N39=1), 1, 0),IF(PTKEY=6,IF(AND('PT 5 Skill Tables'!Q39=1,'PT 5 Skill Tables'!N39=1),1,0),IF(PTKEY=7,IF(AND('PT 6 Skill Tables'!Q39=1,'PT 6 Skill Tables'!N39=1),1,0),""))))))</f>
        <v>0</v>
      </c>
      <c r="AD38" s="93">
        <f>IF(PTKEY=2, IF(AND('PT 1 Skill Tables'!X39=1,'PT 1 Skill Tables'!W39=1), 1, 0), IF(PTKEY=3,IF(AND('PT 2 Skill Tables'!X39=1,'PT 2 Skill Tables'!W39=1), 1, 0),IF(PTKEY=4,IF(AND('PT 3 Skill Tables'!X39=1,'PT 3 Skill Tables'!W39=1), 1, 0),IF(PTKEY=5,IF(AND('PT 4 Skill Tables'!X39=1,'PT 4 Skill Tables'!W39=1), 1, 0),IF(PTKEY=6,IF(AND('PT 5 Skill Tables'!X39=1,'PT 5 Skill Tables'!W39=1),1,0), IF(PTKEY=7,IF(AND('PT 6 Skill Tables'!X39=1,'PT 6 Skill Tables'!W39=1),1,0),""))))))</f>
        <v>0</v>
      </c>
      <c r="AE38" s="93">
        <f>IF(PTKEY=2, IF(AND('PT 1 Skill Tables'!AE39=1,'PT 1 Skill Tables'!AD39=1), 1, 0), IF(PTKEY=3,IF(AND('PT 2 Skill Tables'!AE39=1,'PT 2 Skill Tables'!AD39=1), 1, 0),IF(PTKEY=4,IF(AND('PT 3 Skill Tables'!AE39=1,'PT 3 Skill Tables'!AD39=1), 1, 0),IF(PTKEY=5,IF(AND('PT 4 Skill Tables'!AE39=1,'PT 4 Skill Tables'!AD39=1), 1, 0),IF(PTKEY=6,IF(AND('PT 5 Skill Tables'!AE39=1,'PT 5 Skill Tables'!AD39=1),1,0),IF(PTKEY=7,IF(AND('PT 6 Skill Tables'!AE39=1,'PT 6 Skill Tables'!AD39=1),1,0),""))))))</f>
        <v>0</v>
      </c>
      <c r="AG38" s="93">
        <v>35</v>
      </c>
      <c r="AH38" s="93">
        <f>IF(PTKEY=2, IF(AND('PT 1 Skill Tables'!I39=1,'PT 1 Skill Tables'!E39=1), 1, 0), IF(PTKEY=3,IF(AND('PT 2 Skill Tables'!I39=1,'PT 2 Skill Tables'!E39=1), 1, 0), IF(PTKEY=4,IF(AND('PT 3 Skill Tables'!I39=1,'PT 3 Skill Tables'!E39=1), 1, 0),IF(PTKEY=5,IF(AND('PT 4 Skill Tables'!I39=1,'PT 4 Skill Tables'!E39=1), 1, 0),IF(PTKEY=6,IF(AND('PT 5 Skill Tables'!I39=1,'PT 5 Skill Tables'!E39=1),1,0),IF(PTKEY=7,IF(AND('PT 6 Skill Tables'!I39=1,'PT 6 Skill Tables'!E39=1),1,0),""))))))</f>
        <v>0</v>
      </c>
      <c r="AI38" s="93">
        <f>IF(PTKEY=2,IF(AND('PT 1 Skill Tables'!R39=1,'PT 1 Skill Tables'!N39=1),1,0),IF(PTKEY=3,IF(AND('PT 2 Skill Tables'!R39=1,'PT 2 Skill Tables'!N39=1),1,0),IF(PTKEY=4,IF(AND('PT 3 Skill Tables'!R39=1,'PT 3 Skill Tables'!N39=1),1,0),IF(PTKEY=5,IF(AND('PT 4 Skill Tables'!R39=1,'PT 4 Skill Tables'!N39=1),1,0),IF(PTKEY=6,IF(AND('PT 5 Skill Tables'!R39=1,'PT 5 Skill Tables'!N39=1),1,0),IF(PTKEY=7,IF(AND('PT 6 Skill Tables'!R39=1,'PT 6 Skill Tables'!N39=1),1,0),""))))))</f>
        <v>0</v>
      </c>
      <c r="AJ38" s="93">
        <f>IF(PTKEY=2,IF(AND('PT 1 Skill Tables'!Y39=1,'PT 1 Skill Tables'!W39=1),1,0),IF(PTKEY=3,IF(AND('PT 2 Skill Tables'!Y39=1,'PT 2 Skill Tables'!W39=1),1,0),IF(PTKEY=4,IF(AND('PT 3 Skill Tables'!Y39=1,'PT 3 Skill Tables'!W39=1),1,0),IF(PTKEY=5,IF(AND('PT 4 Skill Tables'!Y39=1,'PT 4 Skill Tables'!W39=1),1,0),IF(PTKEY=6,IF(AND('PT 5 Skill Tables'!Y39=1,'PT 5 Skill Tables'!W39=1),1,0),IF(PTKEY=7,IF(AND('PT 6 Skill Tables'!Y39=1,'PT 6 Skill Tables'!W39=1),1,0),""))))))</f>
        <v>0</v>
      </c>
      <c r="AK38" s="93">
        <f>IF(PTKEY=2,IF(AND('PT 1 Skill Tables'!AF39=1,'PT 1 Skill Tables'!AD39=1),1,0),IF(PTKEY=3,IF(AND('PT 2 Skill Tables'!AF39=1,'PT 2 Skill Tables'!AD39=1),1,0),IF(PTKEY=4,IF(AND('PT 3 Skill Tables'!AF39=1,'PT 3 Skill Tables'!AD39=1),1,0),IF(PTKEY=5,IF(AND('PT 4 Skill Tables'!AF39=1,'PT 4 Skill Tables'!AD39=1),1,0),IF(PTKEY=6,IF(AND('PT 5 Skill Tables'!AF39=1,'PT 5 Skill Tables'!AD39=1),1,0),IF(PTKEY=7,IF(AND('PT 6 Skill Tables'!AF39=1,'PT 6 Skill Tables'!AD39=1),1,0),""))))))</f>
        <v>0</v>
      </c>
    </row>
    <row r="39" spans="7:37">
      <c r="G39" s="158">
        <v>36</v>
      </c>
      <c r="H39" s="159">
        <f>IF(Input!C45=(VLOOKUP(Input!B45,Table2[#All],PTKEY,TRUE)), 1, 0)</f>
        <v>0</v>
      </c>
      <c r="J39" s="158">
        <v>36</v>
      </c>
      <c r="K39" s="159">
        <f>IF(Input!E45=(VLOOKUP(Input!D45,Table3[#All],PTKEY,TRUE)), 1, 0)</f>
        <v>0</v>
      </c>
      <c r="P39" s="158">
        <v>36</v>
      </c>
      <c r="Q39" s="159">
        <f>IF(PTDropdown="PT 4", IF(OR(Input!H45=30,Input!I45=31,Input!I45=32, Input!I45=33, Input!I45=34), 1,0),IF(Input!I45=(VLOOKUP(Input!H45,Table5[#All],PTKEY,TRUE)), 1, 0))</f>
        <v>0</v>
      </c>
      <c r="S39" s="93">
        <v>36</v>
      </c>
      <c r="T39" s="93">
        <f>IF(PTKEY=2,IF(AND('PT 1 Skill Tables'!F40=1,'PT 1 Skill Tables'!E40=1),1,0),IF(PTKEY=3,IF(AND('PT 2 Skill Tables'!F40=1,'PT 2 Skill Tables'!E40=1),1,0),IF(PTKEY=4,IF(AND('PT 3 Skill Tables'!F40=1,'PT 3 Skill Tables'!E40=1),1,0),IF(PTKEY=5,IF(AND('PT 4 Skill Tables'!F40=1,'PT 4 Skill Tables'!E40=1),1,0),IF(PTKEY=6,IF(AND('PT 5 Skill Tables'!F40=1,'PT 5 Skill Tables'!E40=1),1,0),IF(PTKEY=7,IF(AND('PT 6 Skill Tables'!F40=1,'PT 6 Skill Tables'!E40=1),1,0),""))))))</f>
        <v>0</v>
      </c>
      <c r="U39" s="93">
        <f>IF(PTKEY=2,IF(AND('PT 1 Skill Tables'!O40=1,'PT 1 Skill Tables'!N40=1),1,0),IF(PTKEY=3,IF(AND('PT 2 Skill Tables'!O40=1,'PT 2 Skill Tables'!N40=1),1,0),IF(PTKEY=4,IF(AND('PT 3 Skill Tables'!O40=1,'PT 3 Skill Tables'!N40=1),1,0),IF(PTKEY=5,IF(AND('PT 4 Skill Tables'!O40=1,'PT 4 Skill Tables'!N40=1),1,0),IF(PTKEY=6,IF(AND('PT 5 Skill Tables'!O40=1,'PT 5 Skill Tables'!N40=1),1,0),IF(PTKEY=7,IF(AND('PT 6 Skill Tables'!O40=1,'PT 6 Skill Tables'!N40=1),1,0),""))))))</f>
        <v>0</v>
      </c>
      <c r="W39" s="93">
        <v>36</v>
      </c>
      <c r="X39" s="93">
        <f>IF(PTKEY=2,IF(AND('PT 1 Skill Tables'!G40=1,'PT 1 Skill Tables'!E40=1),1,0),IF(PTKEY=3,IF(AND('PT 2 Skill Tables'!G40=1,'PT 2 Skill Tables'!E40=1),1,0),IF(PTKEY=4,IF(AND('PT 3 Skill Tables'!G40=1,'PT 3 Skill Tables'!E40=1),1,0),IF(PTKEY=5,IF(AND('PT 4 Skill Tables'!G40=1,'PT 4 Skill Tables'!E40=1),1,0),IF(PTKEY=6,IF(AND('PT 5 Skill Tables'!G40=1,'PT 5 Skill Tables'!E40=1),1,0),IF(PTKEY=7,IF(AND('PT 6 Skill Tables'!G40=1,'PT 6 Skill Tables'!E40=1),1,0),""))))))</f>
        <v>0</v>
      </c>
      <c r="Y39" s="93">
        <f>IF(PTKEY=2,IF(AND('PT 1 Skill Tables'!P40=1,'PT 1 Skill Tables'!N40=1),1,0),IF(PTKEY=3,IF(AND('PT 2 Skill Tables'!P40=1,'PT 2 Skill Tables'!N40=1),1,0),IF(PTKEY=4,IF(AND('PT 3 Skill Tables'!P40=1,'PT 3 Skill Tables'!N40=1),1,0),IF(PTKEY=5,IF(AND('PT 4 Skill Tables'!P40=1,'PT 4 Skill Tables'!N40=1),1,0),IF(PTKEY=6,IF(AND('PT 5 Skill Tables'!P40=1,'PT 5 Skill Tables'!N40=1),1,0),IF(PTKEY=7,IF(AND('PT 6 Skill Tables'!P40=1,'PT 6 Skill Tables'!N40=1),1,0),""))))))</f>
        <v>0</v>
      </c>
      <c r="AA39" s="136">
        <v>36</v>
      </c>
      <c r="AB39" s="93">
        <f>IF(PTKEY=2, IF(AND('PT 1 Skill Tables'!H40=1,'PT 1 Skill Tables'!E40=1), 1, 0), IF(PTKEY=3,IF(AND('PT 2 Skill Tables'!H40=1,'PT 2 Skill Tables'!E40=1), 1, 0),IF(PTKEY=4,IF(AND('PT 3 Skill Tables'!H40=1,'PT 3 Skill Tables'!E40=1), 1, 0), IF(PTKEY=5,IF(AND('PT 4 Skill Tables'!H40=1,'PT 4 Skill Tables'!E40=1), 1, 0),IF(PTKEY=6,IF(AND('PT 5 Skill Tables'!H40=1,'PT 5 Skill Tables'!E40=1),1,0),IF(PTKEY=7,IF(AND('PT 6 Skill Tables'!H40=1,'PT 6 Skill Tables'!E40=1),1,0),""))))))</f>
        <v>0</v>
      </c>
      <c r="AC39" s="93">
        <f>IF(PTKEY=2, IF(AND('PT 1 Skill Tables'!Q40=1,'PT 1 Skill Tables'!N40=1), 1, 0), IF(PTKEY=3,IF(AND('PT 2 Skill Tables'!Q40=1,'PT 2 Skill Tables'!N40=1), 1, 0),IF(PTKEY=4,IF(AND('PT 3 Skill Tables'!Q40=1,'PT 3 Skill Tables'!N40=1), 1, 0), IF(PTKEY=5,IF(AND('PT 4 Skill Tables'!Q40=1,'PT 4 Skill Tables'!N40=1), 1, 0),IF(PTKEY=6,IF(AND('PT 5 Skill Tables'!Q40=1,'PT 5 Skill Tables'!N40=1),1,0),IF(PTKEY=7,IF(AND('PT 6 Skill Tables'!Q40=1,'PT 6 Skill Tables'!N40=1),1,0),""))))))</f>
        <v>0</v>
      </c>
      <c r="AD39" s="93">
        <f>IF(PTKEY=2, IF(AND('PT 1 Skill Tables'!X40=1,'PT 1 Skill Tables'!W40=1), 1, 0), IF(PTKEY=3,IF(AND('PT 2 Skill Tables'!X40=1,'PT 2 Skill Tables'!W40=1), 1, 0),IF(PTKEY=4,IF(AND('PT 3 Skill Tables'!X40=1,'PT 3 Skill Tables'!W40=1), 1, 0),IF(PTKEY=5,IF(AND('PT 4 Skill Tables'!X40=1,'PT 4 Skill Tables'!W40=1), 1, 0),IF(PTKEY=6,IF(AND('PT 5 Skill Tables'!X40=1,'PT 5 Skill Tables'!W40=1),1,0), IF(PTKEY=7,IF(AND('PT 6 Skill Tables'!X40=1,'PT 6 Skill Tables'!W40=1),1,0),""))))))</f>
        <v>0</v>
      </c>
      <c r="AE39" s="93">
        <f>IF(PTKEY=2, IF(AND('PT 1 Skill Tables'!AE40=1,'PT 1 Skill Tables'!AD40=1), 1, 0), IF(PTKEY=3,IF(AND('PT 2 Skill Tables'!AE40=1,'PT 2 Skill Tables'!AD40=1), 1, 0),IF(PTKEY=4,IF(AND('PT 3 Skill Tables'!AE40=1,'PT 3 Skill Tables'!AD40=1), 1, 0),IF(PTKEY=5,IF(AND('PT 4 Skill Tables'!AE40=1,'PT 4 Skill Tables'!AD40=1), 1, 0),IF(PTKEY=6,IF(AND('PT 5 Skill Tables'!AE40=1,'PT 5 Skill Tables'!AD40=1),1,0),IF(PTKEY=7,IF(AND('PT 6 Skill Tables'!AE40=1,'PT 6 Skill Tables'!AD40=1),1,0),""))))))</f>
        <v>0</v>
      </c>
      <c r="AG39" s="93">
        <v>36</v>
      </c>
      <c r="AH39" s="93">
        <f>IF(PTKEY=2, IF(AND('PT 1 Skill Tables'!I40=1,'PT 1 Skill Tables'!E40=1), 1, 0), IF(PTKEY=3,IF(AND('PT 2 Skill Tables'!I40=1,'PT 2 Skill Tables'!E40=1), 1, 0), IF(PTKEY=4,IF(AND('PT 3 Skill Tables'!I40=1,'PT 3 Skill Tables'!E40=1), 1, 0),IF(PTKEY=5,IF(AND('PT 4 Skill Tables'!I40=1,'PT 4 Skill Tables'!E40=1), 1, 0),IF(PTKEY=6,IF(AND('PT 5 Skill Tables'!I40=1,'PT 5 Skill Tables'!E40=1),1,0),IF(PTKEY=7,IF(AND('PT 6 Skill Tables'!I40=1,'PT 6 Skill Tables'!E40=1),1,0),""))))))</f>
        <v>0</v>
      </c>
      <c r="AI39" s="93">
        <f>IF(PTKEY=2,IF(AND('PT 1 Skill Tables'!R40=1,'PT 1 Skill Tables'!N40=1),1,0),IF(PTKEY=3,IF(AND('PT 2 Skill Tables'!R40=1,'PT 2 Skill Tables'!N40=1),1,0),IF(PTKEY=4,IF(AND('PT 3 Skill Tables'!R40=1,'PT 3 Skill Tables'!N40=1),1,0),IF(PTKEY=5,IF(AND('PT 4 Skill Tables'!R40=1,'PT 4 Skill Tables'!N40=1),1,0),IF(PTKEY=6,IF(AND('PT 5 Skill Tables'!R40=1,'PT 5 Skill Tables'!N40=1),1,0),IF(PTKEY=7,IF(AND('PT 6 Skill Tables'!R40=1,'PT 6 Skill Tables'!N40=1),1,0),""))))))</f>
        <v>0</v>
      </c>
      <c r="AJ39" s="93">
        <f>IF(PTKEY=2,IF(AND('PT 1 Skill Tables'!Y40=1,'PT 1 Skill Tables'!W40=1),1,0),IF(PTKEY=3,IF(AND('PT 2 Skill Tables'!Y40=1,'PT 2 Skill Tables'!W40=1),1,0),IF(PTKEY=4,IF(AND('PT 3 Skill Tables'!Y40=1,'PT 3 Skill Tables'!W40=1),1,0),IF(PTKEY=5,IF(AND('PT 4 Skill Tables'!Y40=1,'PT 4 Skill Tables'!W40=1),1,0),IF(PTKEY=6,IF(AND('PT 5 Skill Tables'!Y40=1,'PT 5 Skill Tables'!W40=1),1,0),IF(PTKEY=7,IF(AND('PT 6 Skill Tables'!Y40=1,'PT 6 Skill Tables'!W40=1),1,0),""))))))</f>
        <v>0</v>
      </c>
      <c r="AK39" s="93">
        <f>IF(PTKEY=2,IF(AND('PT 1 Skill Tables'!AF40=1,'PT 1 Skill Tables'!AD40=1),1,0),IF(PTKEY=3,IF(AND('PT 2 Skill Tables'!AF40=1,'PT 2 Skill Tables'!AD40=1),1,0),IF(PTKEY=4,IF(AND('PT 3 Skill Tables'!AF40=1,'PT 3 Skill Tables'!AD40=1),1,0),IF(PTKEY=5,IF(AND('PT 4 Skill Tables'!AF40=1,'PT 4 Skill Tables'!AD40=1),1,0),IF(PTKEY=6,IF(AND('PT 5 Skill Tables'!AF40=1,'PT 5 Skill Tables'!AD40=1),1,0),IF(PTKEY=7,IF(AND('PT 6 Skill Tables'!AF40=1,'PT 6 Skill Tables'!AD40=1),1,0),""))))))</f>
        <v>0</v>
      </c>
    </row>
    <row r="40" spans="7:37">
      <c r="G40" s="160">
        <v>37</v>
      </c>
      <c r="H40" s="159">
        <f>IF(Input!C46=(VLOOKUP(Input!B46,Table2[#All],PTKEY,TRUE)), 1, 0)</f>
        <v>0</v>
      </c>
      <c r="J40" s="160">
        <v>37</v>
      </c>
      <c r="K40" s="159">
        <f>IF(Input!E46=(VLOOKUP(Input!D46,Table3[#All],PTKEY,TRUE)), 1, 0)</f>
        <v>0</v>
      </c>
      <c r="P40" s="160">
        <v>37</v>
      </c>
      <c r="Q40" s="159">
        <f>IF(PTDropdown="PT 5",IF(OR(Input!I46='PT Answer Tables'!AA46, Input!I46='PT Answer Tables'!AB46, Input!I46='PT Answer Tables'!AC46, Input!I46='PT Answer Tables'!AD46),1,0),IF(Input!I46=(VLOOKUP(Input!H46,Table5[#All],PTKEY,TRUE)), 1, 0))</f>
        <v>0</v>
      </c>
      <c r="S40" s="93">
        <v>37</v>
      </c>
      <c r="T40" s="93">
        <f>IF(PTKEY=2,IF(AND('PT 1 Skill Tables'!F41=1,'PT 1 Skill Tables'!E41=1),1,0),IF(PTKEY=3,IF(AND('PT 2 Skill Tables'!F41=1,'PT 2 Skill Tables'!E41=1),1,0),IF(PTKEY=4,IF(AND('PT 3 Skill Tables'!F41=1,'PT 3 Skill Tables'!E41=1),1,0),IF(PTKEY=5,IF(AND('PT 4 Skill Tables'!F41=1,'PT 4 Skill Tables'!E41=1),1,0),IF(PTKEY=6,IF(AND('PT 5 Skill Tables'!F41=1,'PT 5 Skill Tables'!E41=1),1,0),IF(PTKEY=7,IF(AND('PT 6 Skill Tables'!F41=1,'PT 6 Skill Tables'!E41=1),1,0),""))))))</f>
        <v>0</v>
      </c>
      <c r="U40" s="93">
        <f>IF(PTKEY=2,IF(AND('PT 1 Skill Tables'!O41=1,'PT 1 Skill Tables'!N41=1),1,0),IF(PTKEY=3,IF(AND('PT 2 Skill Tables'!O41=1,'PT 2 Skill Tables'!N41=1),1,0),IF(PTKEY=4,IF(AND('PT 3 Skill Tables'!O41=1,'PT 3 Skill Tables'!N41=1),1,0),IF(PTKEY=5,IF(AND('PT 4 Skill Tables'!O41=1,'PT 4 Skill Tables'!N41=1),1,0),IF(PTKEY=6,IF(AND('PT 5 Skill Tables'!O41=1,'PT 5 Skill Tables'!N41=1),1,0),IF(PTKEY=7,IF(AND('PT 6 Skill Tables'!O41=1,'PT 6 Skill Tables'!N41=1),1,0),""))))))</f>
        <v>0</v>
      </c>
      <c r="W40" s="93">
        <v>37</v>
      </c>
      <c r="X40" s="93">
        <f>IF(PTKEY=2,IF(AND('PT 1 Skill Tables'!G41=1,'PT 1 Skill Tables'!E41=1),1,0),IF(PTKEY=3,IF(AND('PT 2 Skill Tables'!G41=1,'PT 2 Skill Tables'!E41=1),1,0),IF(PTKEY=4,IF(AND('PT 3 Skill Tables'!G41=1,'PT 3 Skill Tables'!E41=1),1,0),IF(PTKEY=5,IF(AND('PT 4 Skill Tables'!G41=1,'PT 4 Skill Tables'!E41=1),1,0),IF(PTKEY=6,IF(AND('PT 5 Skill Tables'!G41=1,'PT 5 Skill Tables'!E41=1),1,0),IF(PTKEY=7,IF(AND('PT 6 Skill Tables'!G41=1,'PT 6 Skill Tables'!E41=1),1,0),""))))))</f>
        <v>0</v>
      </c>
      <c r="Y40" s="93">
        <f>IF(PTKEY=2,IF(AND('PT 1 Skill Tables'!P41=1,'PT 1 Skill Tables'!N41=1),1,0),IF(PTKEY=3,IF(AND('PT 2 Skill Tables'!P41=1,'PT 2 Skill Tables'!N41=1),1,0),IF(PTKEY=4,IF(AND('PT 3 Skill Tables'!P41=1,'PT 3 Skill Tables'!N41=1),1,0),IF(PTKEY=5,IF(AND('PT 4 Skill Tables'!P41=1,'PT 4 Skill Tables'!N41=1),1,0),IF(PTKEY=6,IF(AND('PT 5 Skill Tables'!P41=1,'PT 5 Skill Tables'!N41=1),1,0),IF(PTKEY=7,IF(AND('PT 6 Skill Tables'!P41=1,'PT 6 Skill Tables'!N41=1),1,0),""))))))</f>
        <v>0</v>
      </c>
      <c r="AA40" s="135">
        <v>37</v>
      </c>
      <c r="AB40" s="93">
        <f>IF(PTKEY=2, IF(AND('PT 1 Skill Tables'!H41=1,'PT 1 Skill Tables'!E41=1), 1, 0), IF(PTKEY=3,IF(AND('PT 2 Skill Tables'!H41=1,'PT 2 Skill Tables'!E41=1), 1, 0),IF(PTKEY=4,IF(AND('PT 3 Skill Tables'!H41=1,'PT 3 Skill Tables'!E41=1), 1, 0), IF(PTKEY=5,IF(AND('PT 4 Skill Tables'!H41=1,'PT 4 Skill Tables'!E41=1), 1, 0),IF(PTKEY=6,IF(AND('PT 5 Skill Tables'!H41=1,'PT 5 Skill Tables'!E41=1),1,0),IF(PTKEY=7,IF(AND('PT 6 Skill Tables'!H41=1,'PT 6 Skill Tables'!E41=1),1,0),""))))))</f>
        <v>0</v>
      </c>
      <c r="AC40" s="93">
        <f>IF(PTKEY=2, IF(AND('PT 1 Skill Tables'!Q41=1,'PT 1 Skill Tables'!N41=1), 1, 0), IF(PTKEY=3,IF(AND('PT 2 Skill Tables'!Q41=1,'PT 2 Skill Tables'!N41=1), 1, 0),IF(PTKEY=4,IF(AND('PT 3 Skill Tables'!Q41=1,'PT 3 Skill Tables'!N41=1), 1, 0), IF(PTKEY=5,IF(AND('PT 4 Skill Tables'!Q41=1,'PT 4 Skill Tables'!N41=1), 1, 0),IF(PTKEY=6,IF(AND('PT 5 Skill Tables'!Q41=1,'PT 5 Skill Tables'!N41=1),1,0),IF(PTKEY=7,IF(AND('PT 6 Skill Tables'!Q41=1,'PT 6 Skill Tables'!N41=1),1,0),""))))))</f>
        <v>0</v>
      </c>
      <c r="AD40" s="93">
        <f>IF(PTKEY=2, IF(AND('PT 1 Skill Tables'!X41=1,'PT 1 Skill Tables'!W41=1), 1, 0), IF(PTKEY=3,IF(AND('PT 2 Skill Tables'!X41=1,'PT 2 Skill Tables'!W41=1), 1, 0),IF(PTKEY=4,IF(AND('PT 3 Skill Tables'!X41=1,'PT 3 Skill Tables'!W41=1), 1, 0),IF(PTKEY=5,IF(AND('PT 4 Skill Tables'!X41=1,'PT 4 Skill Tables'!W41=1), 1, 0),IF(PTKEY=6,IF(AND('PT 5 Skill Tables'!X41=1,'PT 5 Skill Tables'!W41=1),1,0), IF(PTKEY=7,IF(AND('PT 6 Skill Tables'!X41=1,'PT 6 Skill Tables'!W41=1),1,0),""))))))</f>
        <v>0</v>
      </c>
      <c r="AE40" s="93">
        <f>IF(PTKEY=2, IF(AND('PT 1 Skill Tables'!AE41=1,'PT 1 Skill Tables'!AD41=1), 1, 0), IF(PTKEY=3,IF(AND('PT 2 Skill Tables'!AE41=1,'PT 2 Skill Tables'!AD41=1), 1, 0),IF(PTKEY=4,IF(AND('PT 3 Skill Tables'!AE41=1,'PT 3 Skill Tables'!AD41=1), 1, 0),IF(PTKEY=5,IF(AND('PT 4 Skill Tables'!AE41=1,'PT 4 Skill Tables'!AD41=1), 1, 0),IF(PTKEY=6,IF(AND('PT 5 Skill Tables'!AE41=1,'PT 5 Skill Tables'!AD41=1),1,0),IF(PTKEY=7,IF(AND('PT 6 Skill Tables'!AE41=1,'PT 6 Skill Tables'!AD41=1),1,0),""))))))</f>
        <v>0</v>
      </c>
      <c r="AG40" s="93">
        <v>37</v>
      </c>
      <c r="AH40" s="93">
        <f>IF(PTKEY=2, IF(AND('PT 1 Skill Tables'!I41=1,'PT 1 Skill Tables'!E41=1), 1, 0), IF(PTKEY=3,IF(AND('PT 2 Skill Tables'!I41=1,'PT 2 Skill Tables'!E41=1), 1, 0), IF(PTKEY=4,IF(AND('PT 3 Skill Tables'!I41=1,'PT 3 Skill Tables'!E41=1), 1, 0),IF(PTKEY=5,IF(AND('PT 4 Skill Tables'!I41=1,'PT 4 Skill Tables'!E41=1), 1, 0),IF(PTKEY=6,IF(AND('PT 5 Skill Tables'!I41=1,'PT 5 Skill Tables'!E41=1),1,0),IF(PTKEY=7,IF(AND('PT 6 Skill Tables'!I41=1,'PT 6 Skill Tables'!E41=1),1,0),""))))))</f>
        <v>0</v>
      </c>
      <c r="AI40" s="93">
        <f>IF(PTKEY=2,IF(AND('PT 1 Skill Tables'!R41=1,'PT 1 Skill Tables'!N41=1),1,0),IF(PTKEY=3,IF(AND('PT 2 Skill Tables'!R41=1,'PT 2 Skill Tables'!N41=1),1,0),IF(PTKEY=4,IF(AND('PT 3 Skill Tables'!R41=1,'PT 3 Skill Tables'!N41=1),1,0),IF(PTKEY=5,IF(AND('PT 4 Skill Tables'!R41=1,'PT 4 Skill Tables'!N41=1),1,0),IF(PTKEY=6,IF(AND('PT 5 Skill Tables'!R41=1,'PT 5 Skill Tables'!N41=1),1,0),IF(PTKEY=7,IF(AND('PT 6 Skill Tables'!R41=1,'PT 6 Skill Tables'!N41=1),1,0),""))))))</f>
        <v>0</v>
      </c>
      <c r="AJ40" s="93">
        <f>IF(PTKEY=2,IF(AND('PT 1 Skill Tables'!Y41=1,'PT 1 Skill Tables'!W41=1),1,0),IF(PTKEY=3,IF(AND('PT 2 Skill Tables'!Y41=1,'PT 2 Skill Tables'!W41=1),1,0),IF(PTKEY=4,IF(AND('PT 3 Skill Tables'!Y41=1,'PT 3 Skill Tables'!W41=1),1,0),IF(PTKEY=5,IF(AND('PT 4 Skill Tables'!Y41=1,'PT 4 Skill Tables'!W41=1),1,0),IF(PTKEY=6,IF(AND('PT 5 Skill Tables'!Y41=1,'PT 5 Skill Tables'!W41=1),1,0),IF(PTKEY=7,IF(AND('PT 6 Skill Tables'!Y41=1,'PT 6 Skill Tables'!W41=1),1,0),""))))))</f>
        <v>0</v>
      </c>
      <c r="AK40" s="93">
        <f>IF(PTKEY=2,IF(AND('PT 1 Skill Tables'!AF41=1,'PT 1 Skill Tables'!AD41=1),1,0),IF(PTKEY=3,IF(AND('PT 2 Skill Tables'!AF41=1,'PT 2 Skill Tables'!AD41=1),1,0),IF(PTKEY=4,IF(AND('PT 3 Skill Tables'!AF41=1,'PT 3 Skill Tables'!AD41=1),1,0),IF(PTKEY=5,IF(AND('PT 4 Skill Tables'!AF41=1,'PT 4 Skill Tables'!AD41=1),1,0),IF(PTKEY=6,IF(AND('PT 5 Skill Tables'!AF41=1,'PT 5 Skill Tables'!AD41=1),1,0),IF(PTKEY=7,IF(AND('PT 6 Skill Tables'!AF41=1,'PT 6 Skill Tables'!AD41=1),1,0),""))))))</f>
        <v>0</v>
      </c>
    </row>
    <row r="41" spans="7:37" ht="15.75" thickBot="1">
      <c r="G41" s="158">
        <v>38</v>
      </c>
      <c r="H41" s="159">
        <f>IF(Input!C47=(VLOOKUP(Input!B47,Table2[#All],PTKEY,TRUE)), 1, 0)</f>
        <v>0</v>
      </c>
      <c r="J41" s="158">
        <v>38</v>
      </c>
      <c r="K41" s="159">
        <f>IF(Input!E47=(VLOOKUP(Input!D47,Table3[#All],PTKEY,TRUE)), 1, 0)</f>
        <v>0</v>
      </c>
      <c r="P41" s="161">
        <v>38</v>
      </c>
      <c r="Q41" s="162">
        <f>IF(Input!I47=(VLOOKUP(Input!H47,Table5[#All],PTKEY,TRUE)), 1, 0)</f>
        <v>0</v>
      </c>
      <c r="S41" s="93">
        <v>38</v>
      </c>
      <c r="T41" s="93">
        <f>IF(PTKEY=2,IF(AND('PT 1 Skill Tables'!F42=1,'PT 1 Skill Tables'!E42=1),1,0),IF(PTKEY=3,IF(AND('PT 2 Skill Tables'!F42=1,'PT 2 Skill Tables'!E42=1),1,0),IF(PTKEY=4,IF(AND('PT 3 Skill Tables'!F42=1,'PT 3 Skill Tables'!E42=1),1,0),IF(PTKEY=5,IF(AND('PT 4 Skill Tables'!F42=1,'PT 4 Skill Tables'!E42=1),1,0),IF(PTKEY=6,IF(AND('PT 5 Skill Tables'!F42=1,'PT 5 Skill Tables'!E42=1),1,0),IF(PTKEY=7,IF(AND('PT 6 Skill Tables'!F42=1,'PT 6 Skill Tables'!E42=1),1,0),""))))))</f>
        <v>0</v>
      </c>
      <c r="U41" s="93">
        <f>IF(PTKEY=2,IF(AND('PT 1 Skill Tables'!O42=1,'PT 1 Skill Tables'!N42=1),1,0),IF(PTKEY=3,IF(AND('PT 2 Skill Tables'!O42=1,'PT 2 Skill Tables'!N42=1),1,0),IF(PTKEY=4,IF(AND('PT 3 Skill Tables'!O42=1,'PT 3 Skill Tables'!N42=1),1,0),IF(PTKEY=5,IF(AND('PT 4 Skill Tables'!O42=1,'PT 4 Skill Tables'!N42=1),1,0),IF(PTKEY=6,IF(AND('PT 5 Skill Tables'!O42=1,'PT 5 Skill Tables'!N42=1),1,0),IF(PTKEY=7,IF(AND('PT 6 Skill Tables'!O42=1,'PT 6 Skill Tables'!N42=1),1,0),""))))))</f>
        <v>0</v>
      </c>
      <c r="W41" s="93">
        <v>38</v>
      </c>
      <c r="X41" s="93">
        <f>IF(PTKEY=2,IF(AND('PT 1 Skill Tables'!G42=1,'PT 1 Skill Tables'!E42=1),1,0),IF(PTKEY=3,IF(AND('PT 2 Skill Tables'!G42=1,'PT 2 Skill Tables'!E42=1),1,0),IF(PTKEY=4,IF(AND('PT 3 Skill Tables'!G42=1,'PT 3 Skill Tables'!E42=1),1,0),IF(PTKEY=5,IF(AND('PT 4 Skill Tables'!G42=1,'PT 4 Skill Tables'!E42=1),1,0),IF(PTKEY=6,IF(AND('PT 5 Skill Tables'!G42=1,'PT 5 Skill Tables'!E42=1),1,0),IF(PTKEY=7,IF(AND('PT 6 Skill Tables'!G42=1,'PT 6 Skill Tables'!E42=1),1,0),""))))))</f>
        <v>0</v>
      </c>
      <c r="Y41" s="93">
        <f>IF(PTKEY=2,IF(AND('PT 1 Skill Tables'!P42=1,'PT 1 Skill Tables'!N42=1),1,0),IF(PTKEY=3,IF(AND('PT 2 Skill Tables'!P42=1,'PT 2 Skill Tables'!N42=1),1,0),IF(PTKEY=4,IF(AND('PT 3 Skill Tables'!P42=1,'PT 3 Skill Tables'!N42=1),1,0),IF(PTKEY=5,IF(AND('PT 4 Skill Tables'!P42=1,'PT 4 Skill Tables'!N42=1),1,0),IF(PTKEY=6,IF(AND('PT 5 Skill Tables'!P42=1,'PT 5 Skill Tables'!N42=1),1,0),IF(PTKEY=7,IF(AND('PT 6 Skill Tables'!P42=1,'PT 6 Skill Tables'!N42=1),1,0),""))))))</f>
        <v>0</v>
      </c>
      <c r="AA41" s="136">
        <v>38</v>
      </c>
      <c r="AB41" s="93">
        <f>IF(PTKEY=2, IF(AND('PT 1 Skill Tables'!H42=1,'PT 1 Skill Tables'!E42=1), 1, 0), IF(PTKEY=3,IF(AND('PT 2 Skill Tables'!H42=1,'PT 2 Skill Tables'!E42=1), 1, 0),IF(PTKEY=4,IF(AND('PT 3 Skill Tables'!H42=1,'PT 3 Skill Tables'!E42=1), 1, 0), IF(PTKEY=5,IF(AND('PT 4 Skill Tables'!H42=1,'PT 4 Skill Tables'!E42=1), 1, 0),IF(PTKEY=6,IF(AND('PT 5 Skill Tables'!H42=1,'PT 5 Skill Tables'!E42=1),1,0),IF(PTKEY=7,IF(AND('PT 6 Skill Tables'!H42=1,'PT 6 Skill Tables'!E42=1),1,0),""))))))</f>
        <v>0</v>
      </c>
      <c r="AC41" s="93">
        <f>IF(PTKEY=2, IF(AND('PT 1 Skill Tables'!Q42=1,'PT 1 Skill Tables'!N42=1), 1, 0), IF(PTKEY=3,IF(AND('PT 2 Skill Tables'!Q42=1,'PT 2 Skill Tables'!N42=1), 1, 0),IF(PTKEY=4,IF(AND('PT 3 Skill Tables'!Q42=1,'PT 3 Skill Tables'!N42=1), 1, 0), IF(PTKEY=5,IF(AND('PT 4 Skill Tables'!Q42=1,'PT 4 Skill Tables'!N42=1), 1, 0),IF(PTKEY=6,IF(AND('PT 5 Skill Tables'!Q42=1,'PT 5 Skill Tables'!N42=1),1,0),IF(PTKEY=7,IF(AND('PT 6 Skill Tables'!Q42=1,'PT 6 Skill Tables'!N42=1),1,0),""))))))</f>
        <v>0</v>
      </c>
      <c r="AD41" s="93">
        <f>IF(PTKEY=2, IF(AND('PT 1 Skill Tables'!X42=1,'PT 1 Skill Tables'!W42=1), 1, 0), IF(PTKEY=3,IF(AND('PT 2 Skill Tables'!X42=1,'PT 2 Skill Tables'!W42=1), 1, 0),IF(PTKEY=4,IF(AND('PT 3 Skill Tables'!X42=1,'PT 3 Skill Tables'!W42=1), 1, 0),IF(PTKEY=5,IF(AND('PT 4 Skill Tables'!X42=1,'PT 4 Skill Tables'!W42=1), 1, 0),IF(PTKEY=6,IF(AND('PT 5 Skill Tables'!X42=1,'PT 5 Skill Tables'!W42=1),1,0), IF(PTKEY=7,IF(AND('PT 6 Skill Tables'!X42=1,'PT 6 Skill Tables'!W42=1),1,0),""))))))</f>
        <v>0</v>
      </c>
      <c r="AE41" s="93">
        <f>IF(PTKEY=2, IF(AND('PT 1 Skill Tables'!AE42=1,'PT 1 Skill Tables'!AD42=1), 1, 0), IF(PTKEY=3,IF(AND('PT 2 Skill Tables'!AE42=1,'PT 2 Skill Tables'!AD42=1), 1, 0),IF(PTKEY=4,IF(AND('PT 3 Skill Tables'!AE42=1,'PT 3 Skill Tables'!AD42=1), 1, 0),IF(PTKEY=5,IF(AND('PT 4 Skill Tables'!AE42=1,'PT 4 Skill Tables'!AD42=1), 1, 0),IF(PTKEY=6,IF(AND('PT 5 Skill Tables'!AE42=1,'PT 5 Skill Tables'!AD42=1),1,0),IF(PTKEY=7,IF(AND('PT 6 Skill Tables'!AE42=1,'PT 6 Skill Tables'!AD42=1),1,0),""))))))</f>
        <v>0</v>
      </c>
      <c r="AG41" s="93">
        <v>38</v>
      </c>
      <c r="AH41" s="93">
        <f>IF(PTKEY=2, IF(AND('PT 1 Skill Tables'!I42=1,'PT 1 Skill Tables'!E42=1), 1, 0), IF(PTKEY=3,IF(AND('PT 2 Skill Tables'!I42=1,'PT 2 Skill Tables'!E42=1), 1, 0), IF(PTKEY=4,IF(AND('PT 3 Skill Tables'!I42=1,'PT 3 Skill Tables'!E42=1), 1, 0),IF(PTKEY=5,IF(AND('PT 4 Skill Tables'!I42=1,'PT 4 Skill Tables'!E42=1), 1, 0),IF(PTKEY=6,IF(AND('PT 5 Skill Tables'!I42=1,'PT 5 Skill Tables'!E42=1),1,0),IF(PTKEY=7,IF(AND('PT 6 Skill Tables'!I42=1,'PT 6 Skill Tables'!E42=1),1,0),""))))))</f>
        <v>0</v>
      </c>
      <c r="AI41" s="93">
        <f>IF(PTKEY=2,IF(AND('PT 1 Skill Tables'!R42=1,'PT 1 Skill Tables'!N42=1),1,0),IF(PTKEY=3,IF(AND('PT 2 Skill Tables'!R42=1,'PT 2 Skill Tables'!N42=1),1,0),IF(PTKEY=4,IF(AND('PT 3 Skill Tables'!R42=1,'PT 3 Skill Tables'!N42=1),1,0),IF(PTKEY=5,IF(AND('PT 4 Skill Tables'!R42=1,'PT 4 Skill Tables'!N42=1),1,0),IF(PTKEY=6,IF(AND('PT 5 Skill Tables'!R42=1,'PT 5 Skill Tables'!N42=1),1,0),IF(PTKEY=7,IF(AND('PT 6 Skill Tables'!R42=1,'PT 6 Skill Tables'!N42=1),1,0),""))))))</f>
        <v>0</v>
      </c>
      <c r="AJ41" s="93">
        <f>IF(PTKEY=2,IF(AND('PT 1 Skill Tables'!Y42=1,'PT 1 Skill Tables'!W42=1),1,0),IF(PTKEY=3,IF(AND('PT 2 Skill Tables'!Y42=1,'PT 2 Skill Tables'!W42=1),1,0),IF(PTKEY=4,IF(AND('PT 3 Skill Tables'!Y42=1,'PT 3 Skill Tables'!W42=1),1,0),IF(PTKEY=5,IF(AND('PT 4 Skill Tables'!Y42=1,'PT 4 Skill Tables'!W42=1),1,0),IF(PTKEY=6,IF(AND('PT 5 Skill Tables'!Y42=1,'PT 5 Skill Tables'!W42=1),1,0),IF(PTKEY=7,IF(AND('PT 6 Skill Tables'!Y42=1,'PT 6 Skill Tables'!W42=1),1,0),""))))))</f>
        <v>0</v>
      </c>
      <c r="AK41" s="93">
        <f>IF(PTKEY=2,IF(AND('PT 1 Skill Tables'!AF42=1,'PT 1 Skill Tables'!AD42=1),1,0),IF(PTKEY=3,IF(AND('PT 2 Skill Tables'!AF42=1,'PT 2 Skill Tables'!AD42=1),1,0),IF(PTKEY=4,IF(AND('PT 3 Skill Tables'!AF42=1,'PT 3 Skill Tables'!AD42=1),1,0),IF(PTKEY=5,IF(AND('PT 4 Skill Tables'!AF42=1,'PT 4 Skill Tables'!AD42=1),1,0),IF(PTKEY=6,IF(AND('PT 5 Skill Tables'!AF42=1,'PT 5 Skill Tables'!AD42=1),1,0),IF(PTKEY=7,IF(AND('PT 6 Skill Tables'!AF42=1,'PT 6 Skill Tables'!AD42=1),1,0),""))))))</f>
        <v>0</v>
      </c>
    </row>
    <row r="42" spans="7:37">
      <c r="G42" s="160">
        <v>39</v>
      </c>
      <c r="H42" s="159">
        <f>IF(Input!C48=(VLOOKUP(Input!B48,Table2[#All],PTKEY,TRUE)), 1, 0)</f>
        <v>0</v>
      </c>
      <c r="J42" s="160">
        <v>39</v>
      </c>
      <c r="K42" s="159">
        <f>IF(Input!E48=(VLOOKUP(Input!D48,Table3[#All],PTKEY,TRUE)), 1, 0)</f>
        <v>0</v>
      </c>
      <c r="S42" s="93">
        <v>39</v>
      </c>
      <c r="T42" s="93">
        <f>IF(PTKEY=2,IF(AND('PT 1 Skill Tables'!F43=1,'PT 1 Skill Tables'!E43=1),1,0),IF(PTKEY=3,IF(AND('PT 2 Skill Tables'!F43=1,'PT 2 Skill Tables'!E43=1),1,0),IF(PTKEY=4,IF(AND('PT 3 Skill Tables'!F43=1,'PT 3 Skill Tables'!E43=1),1,0),IF(PTKEY=5,IF(AND('PT 4 Skill Tables'!F43=1,'PT 4 Skill Tables'!E43=1),1,0),IF(PTKEY=6,IF(AND('PT 5 Skill Tables'!F43=1,'PT 5 Skill Tables'!E43=1),1,0),IF(PTKEY=7,IF(AND('PT 6 Skill Tables'!F43=1,'PT 6 Skill Tables'!E43=1),1,0),""))))))</f>
        <v>0</v>
      </c>
      <c r="U42" s="93">
        <f>IF(PTKEY=2,IF(AND('PT 1 Skill Tables'!O43=1,'PT 1 Skill Tables'!N43=1),1,0),IF(PTKEY=3,IF(AND('PT 2 Skill Tables'!O43=1,'PT 2 Skill Tables'!N43=1),1,0),IF(PTKEY=4,IF(AND('PT 3 Skill Tables'!O43=1,'PT 3 Skill Tables'!N43=1),1,0),IF(PTKEY=5,IF(AND('PT 4 Skill Tables'!O43=1,'PT 4 Skill Tables'!N43=1),1,0),IF(PTKEY=6,IF(AND('PT 5 Skill Tables'!O43=1,'PT 5 Skill Tables'!N43=1),1,0),IF(PTKEY=7,IF(AND('PT 6 Skill Tables'!O43=1,'PT 6 Skill Tables'!N43=1),1,0),""))))))</f>
        <v>0</v>
      </c>
      <c r="W42" s="93">
        <v>39</v>
      </c>
      <c r="X42" s="93">
        <f>IF(PTKEY=2,IF(AND('PT 1 Skill Tables'!G43=1,'PT 1 Skill Tables'!E43=1),1,0),IF(PTKEY=3,IF(AND('PT 2 Skill Tables'!G43=1,'PT 2 Skill Tables'!E43=1),1,0),IF(PTKEY=4,IF(AND('PT 3 Skill Tables'!G43=1,'PT 3 Skill Tables'!E43=1),1,0),IF(PTKEY=5,IF(AND('PT 4 Skill Tables'!G43=1,'PT 4 Skill Tables'!E43=1),1,0),IF(PTKEY=6,IF(AND('PT 5 Skill Tables'!G43=1,'PT 5 Skill Tables'!E43=1),1,0),IF(PTKEY=7,IF(AND('PT 6 Skill Tables'!G43=1,'PT 6 Skill Tables'!E43=1),1,0),""))))))</f>
        <v>0</v>
      </c>
      <c r="Y42" s="93">
        <f>IF(PTKEY=2,IF(AND('PT 1 Skill Tables'!P43=1,'PT 1 Skill Tables'!N43=1),1,0),IF(PTKEY=3,IF(AND('PT 2 Skill Tables'!P43=1,'PT 2 Skill Tables'!N43=1),1,0),IF(PTKEY=4,IF(AND('PT 3 Skill Tables'!P43=1,'PT 3 Skill Tables'!N43=1),1,0),IF(PTKEY=5,IF(AND('PT 4 Skill Tables'!P43=1,'PT 4 Skill Tables'!N43=1),1,0),IF(PTKEY=6,IF(AND('PT 5 Skill Tables'!P43=1,'PT 5 Skill Tables'!N43=1),1,0),IF(PTKEY=7,IF(AND('PT 6 Skill Tables'!P43=1,'PT 6 Skill Tables'!N43=1),1,0),""))))))</f>
        <v>0</v>
      </c>
      <c r="AA42" s="135">
        <v>39</v>
      </c>
      <c r="AB42" s="93">
        <f>IF(PTKEY=2, IF(AND('PT 1 Skill Tables'!H43=1,'PT 1 Skill Tables'!E43=1), 1, 0), IF(PTKEY=3,IF(AND('PT 2 Skill Tables'!H43=1,'PT 2 Skill Tables'!E43=1), 1, 0),IF(PTKEY=4,IF(AND('PT 3 Skill Tables'!H43=1,'PT 3 Skill Tables'!E43=1), 1, 0), IF(PTKEY=5,IF(AND('PT 4 Skill Tables'!H43=1,'PT 4 Skill Tables'!E43=1), 1, 0),IF(PTKEY=6,IF(AND('PT 5 Skill Tables'!H43=1,'PT 5 Skill Tables'!E43=1),1,0),IF(PTKEY=7,IF(AND('PT 6 Skill Tables'!H43=1,'PT 6 Skill Tables'!E43=1),1,0),""))))))</f>
        <v>0</v>
      </c>
      <c r="AC42" s="93">
        <f>IF(PTKEY=2, IF(AND('PT 1 Skill Tables'!Q43=1,'PT 1 Skill Tables'!N43=1), 1, 0), IF(PTKEY=3,IF(AND('PT 2 Skill Tables'!Q43=1,'PT 2 Skill Tables'!N43=1), 1, 0),IF(PTKEY=4,IF(AND('PT 3 Skill Tables'!Q43=1,'PT 3 Skill Tables'!N43=1), 1, 0), IF(PTKEY=5,IF(AND('PT 4 Skill Tables'!Q43=1,'PT 4 Skill Tables'!N43=1), 1, 0),IF(PTKEY=6,IF(AND('PT 5 Skill Tables'!Q43=1,'PT 5 Skill Tables'!N43=1),1,0),IF(PTKEY=7,IF(AND('PT 6 Skill Tables'!Q43=1,'PT 6 Skill Tables'!N43=1),1,0),""))))))</f>
        <v>0</v>
      </c>
      <c r="AD42" s="93">
        <f>IF(PTKEY=2, IF(AND('PT 1 Skill Tables'!X43=1,'PT 1 Skill Tables'!W43=1), 1, 0), IF(PTKEY=3,IF(AND('PT 2 Skill Tables'!X43=1,'PT 2 Skill Tables'!W43=1), 1, 0),IF(PTKEY=4,IF(AND('PT 3 Skill Tables'!X43=1,'PT 3 Skill Tables'!W43=1), 1, 0),IF(PTKEY=5,IF(AND('PT 4 Skill Tables'!X43=1,'PT 4 Skill Tables'!W43=1), 1, 0),IF(PTKEY=6,IF(AND('PT 5 Skill Tables'!X43=1,'PT 5 Skill Tables'!W43=1),1,0), IF(PTKEY=7,IF(AND('PT 6 Skill Tables'!X43=1,'PT 6 Skill Tables'!W43=1),1,0),""))))))</f>
        <v>0</v>
      </c>
      <c r="AE42" s="93">
        <f>IF(PTKEY=2, IF(AND('PT 1 Skill Tables'!AE43=1,'PT 1 Skill Tables'!AD43=1), 1, 0), IF(PTKEY=3,IF(AND('PT 2 Skill Tables'!AE43=1,'PT 2 Skill Tables'!AD43=1), 1, 0),IF(PTKEY=4,IF(AND('PT 3 Skill Tables'!AE43=1,'PT 3 Skill Tables'!AD43=1), 1, 0),IF(PTKEY=5,IF(AND('PT 4 Skill Tables'!AE43=1,'PT 4 Skill Tables'!AD43=1), 1, 0),IF(PTKEY=6,IF(AND('PT 5 Skill Tables'!AE43=1,'PT 5 Skill Tables'!AD43=1),1,0),IF(PTKEY=7,IF(AND('PT 6 Skill Tables'!AE43=1,'PT 6 Skill Tables'!AD43=1),1,0),""))))))</f>
        <v>0</v>
      </c>
      <c r="AG42" s="93">
        <v>39</v>
      </c>
      <c r="AH42" s="93">
        <f>IF(PTKEY=2, IF(AND('PT 1 Skill Tables'!I43=1,'PT 1 Skill Tables'!E43=1), 1, 0), IF(PTKEY=3,IF(AND('PT 2 Skill Tables'!I43=1,'PT 2 Skill Tables'!E43=1), 1, 0), IF(PTKEY=4,IF(AND('PT 3 Skill Tables'!I43=1,'PT 3 Skill Tables'!E43=1), 1, 0),IF(PTKEY=5,IF(AND('PT 4 Skill Tables'!I43=1,'PT 4 Skill Tables'!E43=1), 1, 0),IF(PTKEY=6,IF(AND('PT 5 Skill Tables'!I43=1,'PT 5 Skill Tables'!E43=1),1,0),IF(PTKEY=7,IF(AND('PT 6 Skill Tables'!I43=1,'PT 6 Skill Tables'!E43=1),1,0),""))))))</f>
        <v>0</v>
      </c>
      <c r="AI42" s="93">
        <f>IF(PTKEY=2,IF(AND('PT 1 Skill Tables'!R43=1,'PT 1 Skill Tables'!N43=1),1,0),IF(PTKEY=3,IF(AND('PT 2 Skill Tables'!R43=1,'PT 2 Skill Tables'!N43=1),1,0),IF(PTKEY=4,IF(AND('PT 3 Skill Tables'!R43=1,'PT 3 Skill Tables'!N43=1),1,0),IF(PTKEY=5,IF(AND('PT 4 Skill Tables'!R43=1,'PT 4 Skill Tables'!N43=1),1,0),IF(PTKEY=6,IF(AND('PT 5 Skill Tables'!R43=1,'PT 5 Skill Tables'!N43=1),1,0),IF(PTKEY=7,IF(AND('PT 6 Skill Tables'!R43=1,'PT 6 Skill Tables'!N43=1),1,0),""))))))</f>
        <v>0</v>
      </c>
      <c r="AJ42" s="93">
        <f>IF(PTKEY=2,IF(AND('PT 1 Skill Tables'!Y43=1,'PT 1 Skill Tables'!W43=1),1,0),IF(PTKEY=3,IF(AND('PT 2 Skill Tables'!Y43=1,'PT 2 Skill Tables'!W43=1),1,0),IF(PTKEY=4,IF(AND('PT 3 Skill Tables'!Y43=1,'PT 3 Skill Tables'!W43=1),1,0),IF(PTKEY=5,IF(AND('PT 4 Skill Tables'!Y43=1,'PT 4 Skill Tables'!W43=1),1,0),IF(PTKEY=6,IF(AND('PT 5 Skill Tables'!Y43=1,'PT 5 Skill Tables'!W43=1),1,0),IF(PTKEY=7,IF(AND('PT 6 Skill Tables'!Y43=1,'PT 6 Skill Tables'!W43=1),1,0),""))))))</f>
        <v>0</v>
      </c>
      <c r="AK42" s="93">
        <f>IF(PTKEY=2,IF(AND('PT 1 Skill Tables'!AF43=1,'PT 1 Skill Tables'!AD43=1),1,0),IF(PTKEY=3,IF(AND('PT 2 Skill Tables'!AF43=1,'PT 2 Skill Tables'!AD43=1),1,0),IF(PTKEY=4,IF(AND('PT 3 Skill Tables'!AF43=1,'PT 3 Skill Tables'!AD43=1),1,0),IF(PTKEY=5,IF(AND('PT 4 Skill Tables'!AF43=1,'PT 4 Skill Tables'!AD43=1),1,0),IF(PTKEY=6,IF(AND('PT 5 Skill Tables'!AF43=1,'PT 5 Skill Tables'!AD43=1),1,0),IF(PTKEY=7,IF(AND('PT 6 Skill Tables'!AF43=1,'PT 6 Skill Tables'!AD43=1),1,0),""))))))</f>
        <v>0</v>
      </c>
    </row>
    <row r="43" spans="7:37">
      <c r="G43" s="158">
        <v>40</v>
      </c>
      <c r="H43" s="159">
        <f>IF(Input!C49=(VLOOKUP(Input!B49,Table2[#All],PTKEY,TRUE)), 1, 0)</f>
        <v>0</v>
      </c>
      <c r="J43" s="158">
        <v>40</v>
      </c>
      <c r="K43" s="159">
        <f>IF(Input!E49=(VLOOKUP(Input!D49,Table3[#All],PTKEY,TRUE)), 1, 0)</f>
        <v>0</v>
      </c>
      <c r="S43" s="93">
        <v>40</v>
      </c>
      <c r="T43" s="93">
        <f>IF(PTKEY=2,IF(AND('PT 1 Skill Tables'!F44=1,'PT 1 Skill Tables'!E44=1),1,0),IF(PTKEY=3,IF(AND('PT 2 Skill Tables'!F44=1,'PT 2 Skill Tables'!E44=1),1,0),IF(PTKEY=4,IF(AND('PT 3 Skill Tables'!F44=1,'PT 3 Skill Tables'!E44=1),1,0),IF(PTKEY=5,IF(AND('PT 4 Skill Tables'!F44=1,'PT 4 Skill Tables'!E44=1),1,0),IF(PTKEY=6,IF(AND('PT 5 Skill Tables'!F44=1,'PT 5 Skill Tables'!E44=1),1,0),IF(PTKEY=7,IF(AND('PT 6 Skill Tables'!F44=1,'PT 6 Skill Tables'!E44=1),1,0),""))))))</f>
        <v>0</v>
      </c>
      <c r="U43" s="93">
        <f>IF(PTKEY=2,IF(AND('PT 1 Skill Tables'!O44=1,'PT 1 Skill Tables'!N44=1),1,0),IF(PTKEY=3,IF(AND('PT 2 Skill Tables'!O44=1,'PT 2 Skill Tables'!N44=1),1,0),IF(PTKEY=4,IF(AND('PT 3 Skill Tables'!O44=1,'PT 3 Skill Tables'!N44=1),1,0),IF(PTKEY=5,IF(AND('PT 4 Skill Tables'!O44=1,'PT 4 Skill Tables'!N44=1),1,0),IF(PTKEY=6,IF(AND('PT 5 Skill Tables'!O44=1,'PT 5 Skill Tables'!N44=1),1,0),IF(PTKEY=7,IF(AND('PT 6 Skill Tables'!O44=1,'PT 6 Skill Tables'!N44=1),1,0),""))))))</f>
        <v>0</v>
      </c>
      <c r="W43" s="93">
        <v>40</v>
      </c>
      <c r="X43" s="93">
        <f>IF(PTKEY=2,IF(AND('PT 1 Skill Tables'!G44=1,'PT 1 Skill Tables'!E44=1),1,0),IF(PTKEY=3,IF(AND('PT 2 Skill Tables'!G44=1,'PT 2 Skill Tables'!E44=1),1,0),IF(PTKEY=4,IF(AND('PT 3 Skill Tables'!G44=1,'PT 3 Skill Tables'!E44=1),1,0),IF(PTKEY=5,IF(AND('PT 4 Skill Tables'!G44=1,'PT 4 Skill Tables'!E44=1),1,0),IF(PTKEY=6,IF(AND('PT 5 Skill Tables'!G44=1,'PT 5 Skill Tables'!E44=1),1,0),IF(PTKEY=7,IF(AND('PT 6 Skill Tables'!G44=1,'PT 6 Skill Tables'!E44=1),1,0),""))))))</f>
        <v>0</v>
      </c>
      <c r="Y43" s="93">
        <f>IF(PTKEY=2,IF(AND('PT 1 Skill Tables'!P44=1,'PT 1 Skill Tables'!N44=1),1,0),IF(PTKEY=3,IF(AND('PT 2 Skill Tables'!P44=1,'PT 2 Skill Tables'!N44=1),1,0),IF(PTKEY=4,IF(AND('PT 3 Skill Tables'!P44=1,'PT 3 Skill Tables'!N44=1),1,0),IF(PTKEY=5,IF(AND('PT 4 Skill Tables'!P44=1,'PT 4 Skill Tables'!N44=1),1,0),IF(PTKEY=6,IF(AND('PT 5 Skill Tables'!P44=1,'PT 5 Skill Tables'!N44=1),1,0),IF(PTKEY=7,IF(AND('PT 6 Skill Tables'!P44=1,'PT 6 Skill Tables'!N44=1),1,0),""))))))</f>
        <v>0</v>
      </c>
      <c r="AA43" s="136">
        <v>40</v>
      </c>
      <c r="AB43" s="93">
        <f>IF(PTKEY=2, IF(AND('PT 1 Skill Tables'!H44=1,'PT 1 Skill Tables'!E44=1), 1, 0), IF(PTKEY=3,IF(AND('PT 2 Skill Tables'!H44=1,'PT 2 Skill Tables'!E44=1), 1, 0),IF(PTKEY=4,IF(AND('PT 3 Skill Tables'!H44=1,'PT 3 Skill Tables'!E44=1), 1, 0), IF(PTKEY=5,IF(AND('PT 4 Skill Tables'!H44=1,'PT 4 Skill Tables'!E44=1), 1, 0),IF(PTKEY=6,IF(AND('PT 5 Skill Tables'!H44=1,'PT 5 Skill Tables'!E44=1),1,0),IF(PTKEY=7,IF(AND('PT 6 Skill Tables'!H44=1,'PT 6 Skill Tables'!E44=1),1,0),""))))))</f>
        <v>0</v>
      </c>
      <c r="AC43" s="93">
        <f>IF(PTKEY=2, IF(AND('PT 1 Skill Tables'!Q44=1,'PT 1 Skill Tables'!N44=1), 1, 0), IF(PTKEY=3,IF(AND('PT 2 Skill Tables'!Q44=1,'PT 2 Skill Tables'!N44=1), 1, 0),IF(PTKEY=4,IF(AND('PT 3 Skill Tables'!Q44=1,'PT 3 Skill Tables'!N44=1), 1, 0), IF(PTKEY=5,IF(AND('PT 4 Skill Tables'!Q44=1,'PT 4 Skill Tables'!N44=1), 1, 0),IF(PTKEY=6,IF(AND('PT 5 Skill Tables'!Q44=1,'PT 5 Skill Tables'!N44=1),1,0),IF(PTKEY=7,IF(AND('PT 6 Skill Tables'!Q44=1,'PT 6 Skill Tables'!N44=1),1,0),""))))))</f>
        <v>0</v>
      </c>
      <c r="AD43" s="93">
        <f>IF(PTKEY=2, IF(AND('PT 1 Skill Tables'!X44=1,'PT 1 Skill Tables'!W44=1), 1, 0), IF(PTKEY=3,IF(AND('PT 2 Skill Tables'!X44=1,'PT 2 Skill Tables'!W44=1), 1, 0),IF(PTKEY=4,IF(AND('PT 3 Skill Tables'!X44=1,'PT 3 Skill Tables'!W44=1), 1, 0),IF(PTKEY=5,IF(AND('PT 4 Skill Tables'!X44=1,'PT 4 Skill Tables'!W44=1), 1, 0),IF(PTKEY=6,IF(AND('PT 5 Skill Tables'!X44=1,'PT 5 Skill Tables'!W44=1),1,0), IF(PTKEY=7,IF(AND('PT 6 Skill Tables'!X44=1,'PT 6 Skill Tables'!W44=1),1,0),""))))))</f>
        <v>0</v>
      </c>
      <c r="AE43" s="93">
        <f>IF(PTKEY=2, IF(AND('PT 1 Skill Tables'!AE44=1,'PT 1 Skill Tables'!AD44=1), 1, 0), IF(PTKEY=3,IF(AND('PT 2 Skill Tables'!AE44=1,'PT 2 Skill Tables'!AD44=1), 1, 0),IF(PTKEY=4,IF(AND('PT 3 Skill Tables'!AE44=1,'PT 3 Skill Tables'!AD44=1), 1, 0),IF(PTKEY=5,IF(AND('PT 4 Skill Tables'!AE44=1,'PT 4 Skill Tables'!AD44=1), 1, 0),IF(PTKEY=6,IF(AND('PT 5 Skill Tables'!AE44=1,'PT 5 Skill Tables'!AD44=1),1,0),IF(PTKEY=7,IF(AND('PT 6 Skill Tables'!AE44=1,'PT 6 Skill Tables'!AD44=1),1,0),""))))))</f>
        <v>0</v>
      </c>
      <c r="AG43" s="93">
        <v>40</v>
      </c>
      <c r="AH43" s="93">
        <f>IF(PTKEY=2, IF(AND('PT 1 Skill Tables'!I44=1,'PT 1 Skill Tables'!E44=1), 1, 0), IF(PTKEY=3,IF(AND('PT 2 Skill Tables'!I44=1,'PT 2 Skill Tables'!E44=1), 1, 0), IF(PTKEY=4,IF(AND('PT 3 Skill Tables'!I44=1,'PT 3 Skill Tables'!E44=1), 1, 0),IF(PTKEY=5,IF(AND('PT 4 Skill Tables'!I44=1,'PT 4 Skill Tables'!E44=1), 1, 0),IF(PTKEY=6,IF(AND('PT 5 Skill Tables'!I44=1,'PT 5 Skill Tables'!E44=1),1,0),IF(PTKEY=7,IF(AND('PT 6 Skill Tables'!I44=1,'PT 6 Skill Tables'!E44=1),1,0),""))))))</f>
        <v>0</v>
      </c>
      <c r="AI43" s="93">
        <f>IF(PTKEY=2,IF(AND('PT 1 Skill Tables'!R44=1,'PT 1 Skill Tables'!N44=1),1,0),IF(PTKEY=3,IF(AND('PT 2 Skill Tables'!R44=1,'PT 2 Skill Tables'!N44=1),1,0),IF(PTKEY=4,IF(AND('PT 3 Skill Tables'!R44=1,'PT 3 Skill Tables'!N44=1),1,0),IF(PTKEY=5,IF(AND('PT 4 Skill Tables'!R44=1,'PT 4 Skill Tables'!N44=1),1,0),IF(PTKEY=6,IF(AND('PT 5 Skill Tables'!R44=1,'PT 5 Skill Tables'!N44=1),1,0),IF(PTKEY=7,IF(AND('PT 6 Skill Tables'!R44=1,'PT 6 Skill Tables'!N44=1),1,0),""))))))</f>
        <v>0</v>
      </c>
      <c r="AJ43" s="93">
        <f>IF(PTKEY=2,IF(AND('PT 1 Skill Tables'!Y44=1,'PT 1 Skill Tables'!W44=1),1,0),IF(PTKEY=3,IF(AND('PT 2 Skill Tables'!Y44=1,'PT 2 Skill Tables'!W44=1),1,0),IF(PTKEY=4,IF(AND('PT 3 Skill Tables'!Y44=1,'PT 3 Skill Tables'!W44=1),1,0),IF(PTKEY=5,IF(AND('PT 4 Skill Tables'!Y44=1,'PT 4 Skill Tables'!W44=1),1,0),IF(PTKEY=6,IF(AND('PT 5 Skill Tables'!Y44=1,'PT 5 Skill Tables'!W44=1),1,0),IF(PTKEY=7,IF(AND('PT 6 Skill Tables'!Y44=1,'PT 6 Skill Tables'!W44=1),1,0),""))))))</f>
        <v>0</v>
      </c>
      <c r="AK43" s="93">
        <f>IF(PTKEY=2,IF(AND('PT 1 Skill Tables'!AF44=1,'PT 1 Skill Tables'!AD44=1),1,0),IF(PTKEY=3,IF(AND('PT 2 Skill Tables'!AF44=1,'PT 2 Skill Tables'!AD44=1),1,0),IF(PTKEY=4,IF(AND('PT 3 Skill Tables'!AF44=1,'PT 3 Skill Tables'!AD44=1),1,0),IF(PTKEY=5,IF(AND('PT 4 Skill Tables'!AF44=1,'PT 4 Skill Tables'!AD44=1),1,0),IF(PTKEY=6,IF(AND('PT 5 Skill Tables'!AF44=1,'PT 5 Skill Tables'!AD44=1),1,0),IF(PTKEY=7,IF(AND('PT 6 Skill Tables'!AF44=1,'PT 6 Skill Tables'!AD44=1),1,0),""))))))</f>
        <v>0</v>
      </c>
    </row>
    <row r="44" spans="7:37">
      <c r="G44" s="160">
        <v>41</v>
      </c>
      <c r="H44" s="159">
        <f>IF(Input!C50=(VLOOKUP(Input!B50,Table2[#All],PTKEY,TRUE)), 1, 0)</f>
        <v>0</v>
      </c>
      <c r="J44" s="160">
        <v>41</v>
      </c>
      <c r="K44" s="159">
        <f>IF(Input!E50=(VLOOKUP(Input!D50,Table3[#All],PTKEY,TRUE)), 1, 0)</f>
        <v>0</v>
      </c>
      <c r="S44" s="93">
        <v>41</v>
      </c>
      <c r="T44" s="93">
        <f>IF(PTKEY=2,IF(AND('PT 1 Skill Tables'!F45=1,'PT 1 Skill Tables'!E45=1),1,0),IF(PTKEY=3,IF(AND('PT 2 Skill Tables'!F45=1,'PT 2 Skill Tables'!E45=1),1,0),IF(PTKEY=4,IF(AND('PT 3 Skill Tables'!F45=1,'PT 3 Skill Tables'!E45=1),1,0),IF(PTKEY=5,IF(AND('PT 4 Skill Tables'!F45=1,'PT 4 Skill Tables'!E45=1),1,0),IF(PTKEY=6,IF(AND('PT 5 Skill Tables'!F45=1,'PT 5 Skill Tables'!E45=1),1,0),IF(PTKEY=7,IF(AND('PT 6 Skill Tables'!F45=1,'PT 6 Skill Tables'!E45=1),1,0),""))))))</f>
        <v>0</v>
      </c>
      <c r="U44" s="93">
        <f>IF(PTKEY=2,IF(AND('PT 1 Skill Tables'!O45=1,'PT 1 Skill Tables'!N45=1),1,0),IF(PTKEY=3,IF(AND('PT 2 Skill Tables'!O45=1,'PT 2 Skill Tables'!N45=1),1,0),IF(PTKEY=4,IF(AND('PT 3 Skill Tables'!O45=1,'PT 3 Skill Tables'!N45=1),1,0),IF(PTKEY=5,IF(AND('PT 4 Skill Tables'!O45=1,'PT 4 Skill Tables'!N45=1),1,0),IF(PTKEY=6,IF(AND('PT 5 Skill Tables'!O45=1,'PT 5 Skill Tables'!N45=1),1,0),IF(PTKEY=7,IF(AND('PT 6 Skill Tables'!O45=1,'PT 6 Skill Tables'!N45=1),1,0),""))))))</f>
        <v>0</v>
      </c>
      <c r="W44" s="93">
        <v>41</v>
      </c>
      <c r="X44" s="93">
        <f>IF(PTKEY=2,IF(AND('PT 1 Skill Tables'!G45=1,'PT 1 Skill Tables'!E45=1),1,0),IF(PTKEY=3,IF(AND('PT 2 Skill Tables'!G45=1,'PT 2 Skill Tables'!E45=1),1,0),IF(PTKEY=4,IF(AND('PT 3 Skill Tables'!G45=1,'PT 3 Skill Tables'!E45=1),1,0),IF(PTKEY=5,IF(AND('PT 4 Skill Tables'!G45=1,'PT 4 Skill Tables'!E45=1),1,0),IF(PTKEY=6,IF(AND('PT 5 Skill Tables'!G45=1,'PT 5 Skill Tables'!E45=1),1,0),IF(PTKEY=7,IF(AND('PT 6 Skill Tables'!G45=1,'PT 6 Skill Tables'!E45=1),1,0),""))))))</f>
        <v>0</v>
      </c>
      <c r="Y44" s="93">
        <f>IF(PTKEY=2,IF(AND('PT 1 Skill Tables'!P45=1,'PT 1 Skill Tables'!N45=1),1,0),IF(PTKEY=3,IF(AND('PT 2 Skill Tables'!P45=1,'PT 2 Skill Tables'!N45=1),1,0),IF(PTKEY=4,IF(AND('PT 3 Skill Tables'!P45=1,'PT 3 Skill Tables'!N45=1),1,0),IF(PTKEY=5,IF(AND('PT 4 Skill Tables'!P45=1,'PT 4 Skill Tables'!N45=1),1,0),IF(PTKEY=6,IF(AND('PT 5 Skill Tables'!P45=1,'PT 5 Skill Tables'!N45=1),1,0),IF(PTKEY=7,IF(AND('PT 6 Skill Tables'!P45=1,'PT 6 Skill Tables'!N45=1),1,0),""))))))</f>
        <v>0</v>
      </c>
      <c r="AA44" s="135">
        <v>41</v>
      </c>
      <c r="AB44" s="93">
        <f>IF(PTKEY=2, IF(AND('PT 1 Skill Tables'!H45=1,'PT 1 Skill Tables'!E45=1), 1, 0), IF(PTKEY=3,IF(AND('PT 2 Skill Tables'!H45=1,'PT 2 Skill Tables'!E45=1), 1, 0),IF(PTKEY=4,IF(AND('PT 3 Skill Tables'!H45=1,'PT 3 Skill Tables'!E45=1), 1, 0), IF(PTKEY=5,IF(AND('PT 4 Skill Tables'!H45=1,'PT 4 Skill Tables'!E45=1), 1, 0),IF(PTKEY=6,IF(AND('PT 5 Skill Tables'!H45=1,'PT 5 Skill Tables'!E45=1),1,0),IF(PTKEY=7,IF(AND('PT 6 Skill Tables'!H45=1,'PT 6 Skill Tables'!E45=1),1,0),""))))))</f>
        <v>0</v>
      </c>
      <c r="AC44" s="93">
        <f>IF(PTKEY=2, IF(AND('PT 1 Skill Tables'!Q45=1,'PT 1 Skill Tables'!N45=1), 1, 0), IF(PTKEY=3,IF(AND('PT 2 Skill Tables'!Q45=1,'PT 2 Skill Tables'!N45=1), 1, 0),IF(PTKEY=4,IF(AND('PT 3 Skill Tables'!Q45=1,'PT 3 Skill Tables'!N45=1), 1, 0), IF(PTKEY=5,IF(AND('PT 4 Skill Tables'!Q45=1,'PT 4 Skill Tables'!N45=1), 1, 0),IF(PTKEY=6,IF(AND('PT 5 Skill Tables'!Q45=1,'PT 5 Skill Tables'!N45=1),1,0),IF(PTKEY=7,IF(AND('PT 6 Skill Tables'!Q45=1,'PT 6 Skill Tables'!N45=1),1,0),""))))))</f>
        <v>0</v>
      </c>
      <c r="AD44" s="93">
        <f>IF(PTKEY=2, IF(AND('PT 1 Skill Tables'!X45=1,'PT 1 Skill Tables'!W45=1), 1, 0), IF(PTKEY=3,IF(AND('PT 2 Skill Tables'!X45=1,'PT 2 Skill Tables'!W45=1), 1, 0),IF(PTKEY=4,IF(AND('PT 3 Skill Tables'!X45=1,'PT 3 Skill Tables'!W45=1), 1, 0),IF(PTKEY=5,IF(AND('PT 4 Skill Tables'!X45=1,'PT 4 Skill Tables'!W45=1), 1, 0),IF(PTKEY=6,IF(AND('PT 5 Skill Tables'!X45=1,'PT 5 Skill Tables'!W45=1),1,0), IF(PTKEY=7,IF(AND('PT 6 Skill Tables'!X45=1,'PT 6 Skill Tables'!W45=1),1,0),""))))))</f>
        <v>0</v>
      </c>
      <c r="AE44" s="93">
        <f>IF(PTKEY=2, IF(AND('PT 1 Skill Tables'!AE45=1,'PT 1 Skill Tables'!AD45=1), 1, 0), IF(PTKEY=3,IF(AND('PT 2 Skill Tables'!AE45=1,'PT 2 Skill Tables'!AD45=1), 1, 0),IF(PTKEY=4,IF(AND('PT 3 Skill Tables'!AE45=1,'PT 3 Skill Tables'!AD45=1), 1, 0),IF(PTKEY=5,IF(AND('PT 4 Skill Tables'!AE45=1,'PT 4 Skill Tables'!AD45=1), 1, 0),IF(PTKEY=6,IF(AND('PT 5 Skill Tables'!AE45=1,'PT 5 Skill Tables'!AD45=1),1,0),IF(PTKEY=7,IF(AND('PT 6 Skill Tables'!AE45=1,'PT 6 Skill Tables'!AD45=1),1,0),""))))))</f>
        <v>0</v>
      </c>
      <c r="AG44" s="93">
        <v>41</v>
      </c>
      <c r="AH44" s="93">
        <f>IF(PTKEY=2, IF(AND('PT 1 Skill Tables'!I45=1,'PT 1 Skill Tables'!E45=1), 1, 0), IF(PTKEY=3,IF(AND('PT 2 Skill Tables'!I45=1,'PT 2 Skill Tables'!E45=1), 1, 0), IF(PTKEY=4,IF(AND('PT 3 Skill Tables'!I45=1,'PT 3 Skill Tables'!E45=1), 1, 0),IF(PTKEY=5,IF(AND('PT 4 Skill Tables'!I45=1,'PT 4 Skill Tables'!E45=1), 1, 0),IF(PTKEY=6,IF(AND('PT 5 Skill Tables'!I45=1,'PT 5 Skill Tables'!E45=1),1,0),IF(PTKEY=7,IF(AND('PT 6 Skill Tables'!I45=1,'PT 6 Skill Tables'!E45=1),1,0),""))))))</f>
        <v>0</v>
      </c>
      <c r="AI44" s="93">
        <f>IF(PTKEY=2,IF(AND('PT 1 Skill Tables'!R45=1,'PT 1 Skill Tables'!N45=1),1,0),IF(PTKEY=3,IF(AND('PT 2 Skill Tables'!R45=1,'PT 2 Skill Tables'!N45=1),1,0),IF(PTKEY=4,IF(AND('PT 3 Skill Tables'!R45=1,'PT 3 Skill Tables'!N45=1),1,0),IF(PTKEY=5,IF(AND('PT 4 Skill Tables'!R45=1,'PT 4 Skill Tables'!N45=1),1,0),IF(PTKEY=6,IF(AND('PT 5 Skill Tables'!R45=1,'PT 5 Skill Tables'!N45=1),1,0),IF(PTKEY=7,IF(AND('PT 6 Skill Tables'!R45=1,'PT 6 Skill Tables'!N45=1),1,0),""))))))</f>
        <v>0</v>
      </c>
      <c r="AJ44" s="93">
        <f>IF(PTKEY=2,IF(AND('PT 1 Skill Tables'!Y45=1,'PT 1 Skill Tables'!W45=1),1,0),IF(PTKEY=3,IF(AND('PT 2 Skill Tables'!Y45=1,'PT 2 Skill Tables'!W45=1),1,0),IF(PTKEY=4,IF(AND('PT 3 Skill Tables'!Y45=1,'PT 3 Skill Tables'!W45=1),1,0),IF(PTKEY=5,IF(AND('PT 4 Skill Tables'!Y45=1,'PT 4 Skill Tables'!W45=1),1,0),IF(PTKEY=6,IF(AND('PT 5 Skill Tables'!Y45=1,'PT 5 Skill Tables'!W45=1),1,0),IF(PTKEY=7,IF(AND('PT 6 Skill Tables'!Y45=1,'PT 6 Skill Tables'!W45=1),1,0),""))))))</f>
        <v>0</v>
      </c>
      <c r="AK44" s="93">
        <f>IF(PTKEY=2,IF(AND('PT 1 Skill Tables'!AF45=1,'PT 1 Skill Tables'!AD45=1),1,0),IF(PTKEY=3,IF(AND('PT 2 Skill Tables'!AF45=1,'PT 2 Skill Tables'!AD45=1),1,0),IF(PTKEY=4,IF(AND('PT 3 Skill Tables'!AF45=1,'PT 3 Skill Tables'!AD45=1),1,0),IF(PTKEY=5,IF(AND('PT 4 Skill Tables'!AF45=1,'PT 4 Skill Tables'!AD45=1),1,0),IF(PTKEY=6,IF(AND('PT 5 Skill Tables'!AF45=1,'PT 5 Skill Tables'!AD45=1),1,0),IF(PTKEY=7,IF(AND('PT 6 Skill Tables'!AF45=1,'PT 6 Skill Tables'!AD45=1),1,0),""))))))</f>
        <v>0</v>
      </c>
    </row>
    <row r="45" spans="7:37">
      <c r="G45" s="158">
        <v>42</v>
      </c>
      <c r="H45" s="159">
        <f>IF(Input!C51=(VLOOKUP(Input!B51,Table2[#All],PTKEY,TRUE)), 1, 0)</f>
        <v>0</v>
      </c>
      <c r="J45" s="158">
        <v>42</v>
      </c>
      <c r="K45" s="159">
        <f>IF(Input!E51=(VLOOKUP(Input!D51,Table3[#All],PTKEY,TRUE)), 1, 0)</f>
        <v>0</v>
      </c>
      <c r="S45" s="93">
        <v>42</v>
      </c>
      <c r="T45" s="93">
        <f>IF(PTKEY=2,IF(AND('PT 1 Skill Tables'!F46=1,'PT 1 Skill Tables'!E46=1),1,0),IF(PTKEY=3,IF(AND('PT 2 Skill Tables'!F46=1,'PT 2 Skill Tables'!E46=1),1,0),IF(PTKEY=4,IF(AND('PT 3 Skill Tables'!F46=1,'PT 3 Skill Tables'!E46=1),1,0),IF(PTKEY=5,IF(AND('PT 4 Skill Tables'!F46=1,'PT 4 Skill Tables'!E46=1),1,0),IF(PTKEY=6,IF(AND('PT 5 Skill Tables'!F46=1,'PT 5 Skill Tables'!E46=1),1,0),IF(PTKEY=7,IF(AND('PT 6 Skill Tables'!F46=1,'PT 6 Skill Tables'!E46=1),1,0),""))))))</f>
        <v>0</v>
      </c>
      <c r="U45" s="93">
        <f>IF(PTKEY=2,IF(AND('PT 1 Skill Tables'!O46=1,'PT 1 Skill Tables'!N46=1),1,0),IF(PTKEY=3,IF(AND('PT 2 Skill Tables'!O46=1,'PT 2 Skill Tables'!N46=1),1,0),IF(PTKEY=4,IF(AND('PT 3 Skill Tables'!O46=1,'PT 3 Skill Tables'!N46=1),1,0),IF(PTKEY=5,IF(AND('PT 4 Skill Tables'!O46=1,'PT 4 Skill Tables'!N46=1),1,0),IF(PTKEY=6,IF(AND('PT 5 Skill Tables'!O46=1,'PT 5 Skill Tables'!N46=1),1,0),IF(PTKEY=7,IF(AND('PT 6 Skill Tables'!O46=1,'PT 6 Skill Tables'!N46=1),1,0),""))))))</f>
        <v>0</v>
      </c>
      <c r="W45" s="93">
        <v>42</v>
      </c>
      <c r="X45" s="93">
        <f>IF(PTKEY=2,IF(AND('PT 1 Skill Tables'!G46=1,'PT 1 Skill Tables'!E46=1),1,0),IF(PTKEY=3,IF(AND('PT 2 Skill Tables'!G46=1,'PT 2 Skill Tables'!E46=1),1,0),IF(PTKEY=4,IF(AND('PT 3 Skill Tables'!G46=1,'PT 3 Skill Tables'!E46=1),1,0),IF(PTKEY=5,IF(AND('PT 4 Skill Tables'!G46=1,'PT 4 Skill Tables'!E46=1),1,0),IF(PTKEY=6,IF(AND('PT 5 Skill Tables'!G46=1,'PT 5 Skill Tables'!E46=1),1,0),IF(PTKEY=7,IF(AND('PT 6 Skill Tables'!G46=1,'PT 6 Skill Tables'!E46=1),1,0),""))))))</f>
        <v>0</v>
      </c>
      <c r="Y45" s="93">
        <f>IF(PTKEY=2,IF(AND('PT 1 Skill Tables'!P46=1,'PT 1 Skill Tables'!N46=1),1,0),IF(PTKEY=3,IF(AND('PT 2 Skill Tables'!P46=1,'PT 2 Skill Tables'!N46=1),1,0),IF(PTKEY=4,IF(AND('PT 3 Skill Tables'!P46=1,'PT 3 Skill Tables'!N46=1),1,0),IF(PTKEY=5,IF(AND('PT 4 Skill Tables'!P46=1,'PT 4 Skill Tables'!N46=1),1,0),IF(PTKEY=6,IF(AND('PT 5 Skill Tables'!P46=1,'PT 5 Skill Tables'!N46=1),1,0),IF(PTKEY=7,IF(AND('PT 6 Skill Tables'!P46=1,'PT 6 Skill Tables'!N46=1),1,0),""))))))</f>
        <v>0</v>
      </c>
      <c r="AA45" s="136">
        <v>42</v>
      </c>
      <c r="AB45" s="93">
        <f>IF(PTKEY=2, IF(AND('PT 1 Skill Tables'!H46=1,'PT 1 Skill Tables'!E46=1), 1, 0), IF(PTKEY=3,IF(AND('PT 2 Skill Tables'!H46=1,'PT 2 Skill Tables'!E46=1), 1, 0),IF(PTKEY=4,IF(AND('PT 3 Skill Tables'!H46=1,'PT 3 Skill Tables'!E46=1), 1, 0), IF(PTKEY=5,IF(AND('PT 4 Skill Tables'!H46=1,'PT 4 Skill Tables'!E46=1), 1, 0),IF(PTKEY=6,IF(AND('PT 5 Skill Tables'!H46=1,'PT 5 Skill Tables'!E46=1),1,0),IF(PTKEY=7,IF(AND('PT 6 Skill Tables'!H46=1,'PT 6 Skill Tables'!E46=1),1,0),""))))))</f>
        <v>0</v>
      </c>
      <c r="AC45" s="93">
        <f>IF(PTKEY=2, IF(AND('PT 1 Skill Tables'!Q46=1,'PT 1 Skill Tables'!N46=1), 1, 0), IF(PTKEY=3,IF(AND('PT 2 Skill Tables'!Q46=1,'PT 2 Skill Tables'!N46=1), 1, 0),IF(PTKEY=4,IF(AND('PT 3 Skill Tables'!Q46=1,'PT 3 Skill Tables'!N46=1), 1, 0), IF(PTKEY=5,IF(AND('PT 4 Skill Tables'!Q46=1,'PT 4 Skill Tables'!N46=1), 1, 0),IF(PTKEY=6,IF(AND('PT 5 Skill Tables'!Q46=1,'PT 5 Skill Tables'!N46=1),1,0),IF(PTKEY=7,IF(AND('PT 6 Skill Tables'!Q46=1,'PT 6 Skill Tables'!N46=1),1,0),""))))))</f>
        <v>0</v>
      </c>
      <c r="AD45" s="93">
        <f>IF(PTKEY=2, IF(AND('PT 1 Skill Tables'!X46=1,'PT 1 Skill Tables'!W46=1), 1, 0), IF(PTKEY=3,IF(AND('PT 2 Skill Tables'!X46=1,'PT 2 Skill Tables'!W46=1), 1, 0),IF(PTKEY=4,IF(AND('PT 3 Skill Tables'!X46=1,'PT 3 Skill Tables'!W46=1), 1, 0),IF(PTKEY=5,IF(AND('PT 4 Skill Tables'!X46=1,'PT 4 Skill Tables'!W46=1), 1, 0),IF(PTKEY=6,IF(AND('PT 5 Skill Tables'!X46=1,'PT 5 Skill Tables'!W46=1),1,0), IF(PTKEY=7,IF(AND('PT 6 Skill Tables'!X46=1,'PT 6 Skill Tables'!W46=1),1,0),""))))))</f>
        <v>0</v>
      </c>
      <c r="AE45" s="93">
        <f>IF(PTKEY=2, IF(AND('PT 1 Skill Tables'!AE46=1,'PT 1 Skill Tables'!AD46=1), 1, 0), IF(PTKEY=3,IF(AND('PT 2 Skill Tables'!AE46=1,'PT 2 Skill Tables'!AD46=1), 1, 0),IF(PTKEY=4,IF(AND('PT 3 Skill Tables'!AE46=1,'PT 3 Skill Tables'!AD46=1), 1, 0),IF(PTKEY=5,IF(AND('PT 4 Skill Tables'!AE46=1,'PT 4 Skill Tables'!AD46=1), 1, 0),IF(PTKEY=6,IF(AND('PT 5 Skill Tables'!AE46=1,'PT 5 Skill Tables'!AD46=1),1,0),IF(PTKEY=7,IF(AND('PT 6 Skill Tables'!AE46=1,'PT 6 Skill Tables'!AD46=1),1,0),""))))))</f>
        <v>0</v>
      </c>
      <c r="AG45" s="93">
        <v>42</v>
      </c>
      <c r="AH45" s="93">
        <f>IF(PTKEY=2, IF(AND('PT 1 Skill Tables'!I46=1,'PT 1 Skill Tables'!E46=1), 1, 0), IF(PTKEY=3,IF(AND('PT 2 Skill Tables'!I46=1,'PT 2 Skill Tables'!E46=1), 1, 0), IF(PTKEY=4,IF(AND('PT 3 Skill Tables'!I46=1,'PT 3 Skill Tables'!E46=1), 1, 0),IF(PTKEY=5,IF(AND('PT 4 Skill Tables'!I46=1,'PT 4 Skill Tables'!E46=1), 1, 0),IF(PTKEY=6,IF(AND('PT 5 Skill Tables'!I46=1,'PT 5 Skill Tables'!E46=1),1,0),IF(PTKEY=7,IF(AND('PT 6 Skill Tables'!I46=1,'PT 6 Skill Tables'!E46=1),1,0),""))))))</f>
        <v>0</v>
      </c>
      <c r="AI45" s="93">
        <f>IF(PTKEY=2,IF(AND('PT 1 Skill Tables'!R46=1,'PT 1 Skill Tables'!N46=1),1,0),IF(PTKEY=3,IF(AND('PT 2 Skill Tables'!R46=1,'PT 2 Skill Tables'!N46=1),1,0),IF(PTKEY=4,IF(AND('PT 3 Skill Tables'!R46=1,'PT 3 Skill Tables'!N46=1),1,0),IF(PTKEY=5,IF(AND('PT 4 Skill Tables'!R46=1,'PT 4 Skill Tables'!N46=1),1,0),IF(PTKEY=6,IF(AND('PT 5 Skill Tables'!R46=1,'PT 5 Skill Tables'!N46=1),1,0),IF(PTKEY=7,IF(AND('PT 6 Skill Tables'!R46=1,'PT 6 Skill Tables'!N46=1),1,0),""))))))</f>
        <v>0</v>
      </c>
      <c r="AJ45" s="93">
        <f>IF(PTKEY=2,IF(AND('PT 1 Skill Tables'!Y46=1,'PT 1 Skill Tables'!W46=1),1,0),IF(PTKEY=3,IF(AND('PT 2 Skill Tables'!Y46=1,'PT 2 Skill Tables'!W46=1),1,0),IF(PTKEY=4,IF(AND('PT 3 Skill Tables'!Y46=1,'PT 3 Skill Tables'!W46=1),1,0),IF(PTKEY=5,IF(AND('PT 4 Skill Tables'!Y46=1,'PT 4 Skill Tables'!W46=1),1,0),IF(PTKEY=6,IF(AND('PT 5 Skill Tables'!Y46=1,'PT 5 Skill Tables'!W46=1),1,0),IF(PTKEY=7,IF(AND('PT 6 Skill Tables'!Y46=1,'PT 6 Skill Tables'!W46=1),1,0),""))))))</f>
        <v>0</v>
      </c>
      <c r="AK45" s="93">
        <f>IF(PTKEY=2,IF(AND('PT 1 Skill Tables'!AF46=1,'PT 1 Skill Tables'!AD46=1),1,0),IF(PTKEY=3,IF(AND('PT 2 Skill Tables'!AF46=1,'PT 2 Skill Tables'!AD46=1),1,0),IF(PTKEY=4,IF(AND('PT 3 Skill Tables'!AF46=1,'PT 3 Skill Tables'!AD46=1),1,0),IF(PTKEY=5,IF(AND('PT 4 Skill Tables'!AF46=1,'PT 4 Skill Tables'!AD46=1),1,0),IF(PTKEY=6,IF(AND('PT 5 Skill Tables'!AF46=1,'PT 5 Skill Tables'!AD46=1),1,0),IF(PTKEY=7,IF(AND('PT 6 Skill Tables'!AF46=1,'PT 6 Skill Tables'!AD46=1),1,0),""))))))</f>
        <v>0</v>
      </c>
    </row>
    <row r="46" spans="7:37">
      <c r="G46" s="160">
        <v>43</v>
      </c>
      <c r="H46" s="159">
        <f>IF(Input!C52=(VLOOKUP(Input!B52,Table2[#All],PTKEY,TRUE)), 1, 0)</f>
        <v>0</v>
      </c>
      <c r="J46" s="160">
        <v>43</v>
      </c>
      <c r="K46" s="159">
        <f>IF(Input!E52=(VLOOKUP(Input!D52,Table3[#All],PTKEY,TRUE)), 1, 0)</f>
        <v>0</v>
      </c>
      <c r="S46" s="93">
        <v>43</v>
      </c>
      <c r="T46" s="93">
        <f>IF(PTKEY=2,IF(AND('PT 1 Skill Tables'!F47=1,'PT 1 Skill Tables'!E47=1),1,0),IF(PTKEY=3,IF(AND('PT 2 Skill Tables'!F47=1,'PT 2 Skill Tables'!E47=1),1,0),IF(PTKEY=4,IF(AND('PT 3 Skill Tables'!F47=1,'PT 3 Skill Tables'!E47=1),1,0),IF(PTKEY=5,IF(AND('PT 4 Skill Tables'!F47=1,'PT 4 Skill Tables'!E47=1),1,0),IF(PTKEY=6,IF(AND('PT 5 Skill Tables'!F47=1,'PT 5 Skill Tables'!E47=1),1,0),IF(PTKEY=7,IF(AND('PT 6 Skill Tables'!F47=1,'PT 6 Skill Tables'!E47=1),1,0),""))))))</f>
        <v>0</v>
      </c>
      <c r="U46" s="93">
        <f>IF(PTKEY=2,IF(AND('PT 1 Skill Tables'!O47=1,'PT 1 Skill Tables'!N47=1),1,0),IF(PTKEY=3,IF(AND('PT 2 Skill Tables'!O47=1,'PT 2 Skill Tables'!N47=1),1,0),IF(PTKEY=4,IF(AND('PT 3 Skill Tables'!O47=1,'PT 3 Skill Tables'!N47=1),1,0),IF(PTKEY=5,IF(AND('PT 4 Skill Tables'!O47=1,'PT 4 Skill Tables'!N47=1),1,0),IF(PTKEY=6,IF(AND('PT 5 Skill Tables'!O47=1,'PT 5 Skill Tables'!N47=1),1,0),IF(PTKEY=7,IF(AND('PT 6 Skill Tables'!O47=1,'PT 6 Skill Tables'!N47=1),1,0),""))))))</f>
        <v>0</v>
      </c>
      <c r="W46" s="93">
        <v>43</v>
      </c>
      <c r="X46" s="93">
        <f>IF(PTKEY=2,IF(AND('PT 1 Skill Tables'!G47=1,'PT 1 Skill Tables'!E47=1),1,0),IF(PTKEY=3,IF(AND('PT 2 Skill Tables'!G47=1,'PT 2 Skill Tables'!E47=1),1,0),IF(PTKEY=4,IF(AND('PT 3 Skill Tables'!G47=1,'PT 3 Skill Tables'!E47=1),1,0),IF(PTKEY=5,IF(AND('PT 4 Skill Tables'!G47=1,'PT 4 Skill Tables'!E47=1),1,0),IF(PTKEY=6,IF(AND('PT 5 Skill Tables'!G47=1,'PT 5 Skill Tables'!E47=1),1,0),IF(PTKEY=7,IF(AND('PT 6 Skill Tables'!G47=1,'PT 6 Skill Tables'!E47=1),1,0),""))))))</f>
        <v>0</v>
      </c>
      <c r="Y46" s="93">
        <f>IF(PTKEY=2,IF(AND('PT 1 Skill Tables'!P47=1,'PT 1 Skill Tables'!N47=1),1,0),IF(PTKEY=3,IF(AND('PT 2 Skill Tables'!P47=1,'PT 2 Skill Tables'!N47=1),1,0),IF(PTKEY=4,IF(AND('PT 3 Skill Tables'!P47=1,'PT 3 Skill Tables'!N47=1),1,0),IF(PTKEY=5,IF(AND('PT 4 Skill Tables'!P47=1,'PT 4 Skill Tables'!N47=1),1,0),IF(PTKEY=6,IF(AND('PT 5 Skill Tables'!P47=1,'PT 5 Skill Tables'!N47=1),1,0),IF(PTKEY=7,IF(AND('PT 6 Skill Tables'!P47=1,'PT 6 Skill Tables'!N47=1),1,0),""))))))</f>
        <v>0</v>
      </c>
      <c r="AA46" s="135">
        <v>43</v>
      </c>
      <c r="AB46" s="93">
        <f>IF(PTKEY=2, IF(AND('PT 1 Skill Tables'!H47=1,'PT 1 Skill Tables'!E47=1), 1, 0), IF(PTKEY=3,IF(AND('PT 2 Skill Tables'!H47=1,'PT 2 Skill Tables'!E47=1), 1, 0),IF(PTKEY=4,IF(AND('PT 3 Skill Tables'!H47=1,'PT 3 Skill Tables'!E47=1), 1, 0), IF(PTKEY=5,IF(AND('PT 4 Skill Tables'!H47=1,'PT 4 Skill Tables'!E47=1), 1, 0),IF(PTKEY=6,IF(AND('PT 5 Skill Tables'!H47=1,'PT 5 Skill Tables'!E47=1),1,0),IF(PTKEY=7,IF(AND('PT 6 Skill Tables'!H47=1,'PT 6 Skill Tables'!E47=1),1,0),""))))))</f>
        <v>0</v>
      </c>
      <c r="AC46" s="93">
        <f>IF(PTKEY=2, IF(AND('PT 1 Skill Tables'!Q47=1,'PT 1 Skill Tables'!N47=1), 1, 0), IF(PTKEY=3,IF(AND('PT 2 Skill Tables'!Q47=1,'PT 2 Skill Tables'!N47=1), 1, 0),IF(PTKEY=4,IF(AND('PT 3 Skill Tables'!Q47=1,'PT 3 Skill Tables'!N47=1), 1, 0), IF(PTKEY=5,IF(AND('PT 4 Skill Tables'!Q47=1,'PT 4 Skill Tables'!N47=1), 1, 0),IF(PTKEY=6,IF(AND('PT 5 Skill Tables'!Q47=1,'PT 5 Skill Tables'!N47=1),1,0),IF(PTKEY=7,IF(AND('PT 6 Skill Tables'!Q47=1,'PT 6 Skill Tables'!N47=1),1,0),""))))))</f>
        <v>0</v>
      </c>
      <c r="AD46" s="93">
        <f>IF(PTKEY=2, IF(AND('PT 1 Skill Tables'!X47=1,'PT 1 Skill Tables'!W47=1), 1, 0), IF(PTKEY=3,IF(AND('PT 2 Skill Tables'!X47=1,'PT 2 Skill Tables'!W47=1), 1, 0),IF(PTKEY=4,IF(AND('PT 3 Skill Tables'!X47=1,'PT 3 Skill Tables'!W47=1), 1, 0),IF(PTKEY=5,IF(AND('PT 4 Skill Tables'!X47=1,'PT 4 Skill Tables'!W47=1), 1, 0),IF(PTKEY=6,IF(AND('PT 5 Skill Tables'!X47=1,'PT 5 Skill Tables'!W47=1),1,0), IF(PTKEY=7,IF(AND('PT 6 Skill Tables'!X47=1,'PT 6 Skill Tables'!W47=1),1,0),""))))))</f>
        <v>0</v>
      </c>
      <c r="AE46" s="93">
        <f>IF(PTKEY=2, IF(AND('PT 1 Skill Tables'!AE47=1,'PT 1 Skill Tables'!AD47=1), 1, 0), IF(PTKEY=3,IF(AND('PT 2 Skill Tables'!AE47=1,'PT 2 Skill Tables'!AD47=1), 1, 0),IF(PTKEY=4,IF(AND('PT 3 Skill Tables'!AE47=1,'PT 3 Skill Tables'!AD47=1), 1, 0),IF(PTKEY=5,IF(AND('PT 4 Skill Tables'!AE47=1,'PT 4 Skill Tables'!AD47=1), 1, 0),IF(PTKEY=6,IF(AND('PT 5 Skill Tables'!AE47=1,'PT 5 Skill Tables'!AD47=1),1,0),IF(PTKEY=7,IF(AND('PT 6 Skill Tables'!AE47=1,'PT 6 Skill Tables'!AD47=1),1,0),""))))))</f>
        <v>0</v>
      </c>
      <c r="AG46" s="93">
        <v>43</v>
      </c>
      <c r="AH46" s="93">
        <f>IF(PTKEY=2, IF(AND('PT 1 Skill Tables'!I47=1,'PT 1 Skill Tables'!E47=1), 1, 0), IF(PTKEY=3,IF(AND('PT 2 Skill Tables'!I47=1,'PT 2 Skill Tables'!E47=1), 1, 0), IF(PTKEY=4,IF(AND('PT 3 Skill Tables'!I47=1,'PT 3 Skill Tables'!E47=1), 1, 0),IF(PTKEY=5,IF(AND('PT 4 Skill Tables'!I47=1,'PT 4 Skill Tables'!E47=1), 1, 0),IF(PTKEY=6,IF(AND('PT 5 Skill Tables'!I47=1,'PT 5 Skill Tables'!E47=1),1,0),IF(PTKEY=7,IF(AND('PT 6 Skill Tables'!I47=1,'PT 6 Skill Tables'!E47=1),1,0),""))))))</f>
        <v>0</v>
      </c>
      <c r="AI46" s="93">
        <f>IF(PTKEY=2,IF(AND('PT 1 Skill Tables'!R47=1,'PT 1 Skill Tables'!N47=1),1,0),IF(PTKEY=3,IF(AND('PT 2 Skill Tables'!R47=1,'PT 2 Skill Tables'!N47=1),1,0),IF(PTKEY=4,IF(AND('PT 3 Skill Tables'!R47=1,'PT 3 Skill Tables'!N47=1),1,0),IF(PTKEY=5,IF(AND('PT 4 Skill Tables'!R47=1,'PT 4 Skill Tables'!N47=1),1,0),IF(PTKEY=6,IF(AND('PT 5 Skill Tables'!R47=1,'PT 5 Skill Tables'!N47=1),1,0),IF(PTKEY=7,IF(AND('PT 6 Skill Tables'!R47=1,'PT 6 Skill Tables'!N47=1),1,0),""))))))</f>
        <v>0</v>
      </c>
      <c r="AJ46" s="93">
        <f>IF(PTKEY=2,IF(AND('PT 1 Skill Tables'!Y47=1,'PT 1 Skill Tables'!W47=1),1,0),IF(PTKEY=3,IF(AND('PT 2 Skill Tables'!Y47=1,'PT 2 Skill Tables'!W47=1),1,0),IF(PTKEY=4,IF(AND('PT 3 Skill Tables'!Y47=1,'PT 3 Skill Tables'!W47=1),1,0),IF(PTKEY=5,IF(AND('PT 4 Skill Tables'!Y47=1,'PT 4 Skill Tables'!W47=1),1,0),IF(PTKEY=6,IF(AND('PT 5 Skill Tables'!Y47=1,'PT 5 Skill Tables'!W47=1),1,0),IF(PTKEY=7,IF(AND('PT 6 Skill Tables'!Y47=1,'PT 6 Skill Tables'!W47=1),1,0),""))))))</f>
        <v>0</v>
      </c>
      <c r="AK46" s="93">
        <f>IF(PTKEY=2,IF(AND('PT 1 Skill Tables'!AF47=1,'PT 1 Skill Tables'!AD47=1),1,0),IF(PTKEY=3,IF(AND('PT 2 Skill Tables'!AF47=1,'PT 2 Skill Tables'!AD47=1),1,0),IF(PTKEY=4,IF(AND('PT 3 Skill Tables'!AF47=1,'PT 3 Skill Tables'!AD47=1),1,0),IF(PTKEY=5,IF(AND('PT 4 Skill Tables'!AF47=1,'PT 4 Skill Tables'!AD47=1),1,0),IF(PTKEY=6,IF(AND('PT 5 Skill Tables'!AF47=1,'PT 5 Skill Tables'!AD47=1),1,0),IF(PTKEY=7,IF(AND('PT 6 Skill Tables'!AF47=1,'PT 6 Skill Tables'!AD47=1),1,0),""))))))</f>
        <v>0</v>
      </c>
    </row>
    <row r="47" spans="7:37" ht="15.75" thickBot="1">
      <c r="G47" s="158">
        <v>44</v>
      </c>
      <c r="H47" s="159">
        <f>IF(Input!C53=(VLOOKUP(Input!B53,Table2[#All],PTKEY,TRUE)), 1, 0)</f>
        <v>0</v>
      </c>
      <c r="J47" s="161">
        <v>44</v>
      </c>
      <c r="K47" s="162">
        <f>IF(Input!E53=(VLOOKUP(Input!D53,Table3[#All],PTKEY,TRUE)), 1, 0)</f>
        <v>0</v>
      </c>
      <c r="S47" s="93">
        <v>44</v>
      </c>
      <c r="T47" s="93">
        <f>IF(PTKEY=2,IF(AND('PT 1 Skill Tables'!F48=1,'PT 1 Skill Tables'!E48=1),1,0),IF(PTKEY=3,IF(AND('PT 2 Skill Tables'!F48=1,'PT 2 Skill Tables'!E48=1),1,0),IF(PTKEY=4,IF(AND('PT 3 Skill Tables'!F48=1,'PT 3 Skill Tables'!E48=1),1,0),IF(PTKEY=5,IF(AND('PT 4 Skill Tables'!F48=1,'PT 4 Skill Tables'!E48=1),1,0),IF(PTKEY=6,IF(AND('PT 5 Skill Tables'!F48=1,'PT 5 Skill Tables'!E48=1),1,0),IF(PTKEY=7,IF(AND('PT 6 Skill Tables'!F48=1,'PT 6 Skill Tables'!E48=1),1,0),""))))))</f>
        <v>0</v>
      </c>
      <c r="U47" s="93">
        <f>IF(PTKEY=2,IF(AND('PT 1 Skill Tables'!O48=1,'PT 1 Skill Tables'!N48=1),1,0),IF(PTKEY=3,IF(AND('PT 2 Skill Tables'!O48=1,'PT 2 Skill Tables'!N48=1),1,0),IF(PTKEY=4,IF(AND('PT 3 Skill Tables'!O48=1,'PT 3 Skill Tables'!N48=1),1,0),IF(PTKEY=5,IF(AND('PT 4 Skill Tables'!O48=1,'PT 4 Skill Tables'!N48=1),1,0),IF(PTKEY=6,IF(AND('PT 5 Skill Tables'!O48=1,'PT 5 Skill Tables'!N48=1),1,0),IF(PTKEY=7,IF(AND('PT 6 Skill Tables'!O48=1,'PT 6 Skill Tables'!N48=1),1,0),""))))))</f>
        <v>0</v>
      </c>
      <c r="W47" s="93">
        <v>44</v>
      </c>
      <c r="X47" s="93">
        <f>IF(PTKEY=2,IF(AND('PT 1 Skill Tables'!G48=1,'PT 1 Skill Tables'!E48=1),1,0),IF(PTKEY=3,IF(AND('PT 2 Skill Tables'!G48=1,'PT 2 Skill Tables'!E48=1),1,0),IF(PTKEY=4,IF(AND('PT 3 Skill Tables'!G48=1,'PT 3 Skill Tables'!E48=1),1,0),IF(PTKEY=5,IF(AND('PT 4 Skill Tables'!G48=1,'PT 4 Skill Tables'!E48=1),1,0),IF(PTKEY=6,IF(AND('PT 5 Skill Tables'!G48=1,'PT 5 Skill Tables'!E48=1),1,0),IF(PTKEY=7,IF(AND('PT 6 Skill Tables'!G48=1,'PT 6 Skill Tables'!E48=1),1,0),""))))))</f>
        <v>0</v>
      </c>
      <c r="Y47" s="93">
        <f>IF(PTKEY=2,IF(AND('PT 1 Skill Tables'!P48=1,'PT 1 Skill Tables'!N48=1),1,0),IF(PTKEY=3,IF(AND('PT 2 Skill Tables'!P48=1,'PT 2 Skill Tables'!N48=1),1,0),IF(PTKEY=4,IF(AND('PT 3 Skill Tables'!P48=1,'PT 3 Skill Tables'!N48=1),1,0),IF(PTKEY=5,IF(AND('PT 4 Skill Tables'!P48=1,'PT 4 Skill Tables'!N48=1),1,0),IF(PTKEY=6,IF(AND('PT 5 Skill Tables'!P48=1,'PT 5 Skill Tables'!N48=1),1,0),IF(PTKEY=7,IF(AND('PT 6 Skill Tables'!P48=1,'PT 6 Skill Tables'!N48=1),1,0),""))))))</f>
        <v>0</v>
      </c>
      <c r="AA47" s="136">
        <v>44</v>
      </c>
      <c r="AB47" s="93">
        <f>IF(PTKEY=2, IF(AND('PT 1 Skill Tables'!H48=1,'PT 1 Skill Tables'!E48=1), 1, 0), IF(PTKEY=3,IF(AND('PT 2 Skill Tables'!H48=1,'PT 2 Skill Tables'!E48=1), 1, 0),IF(PTKEY=4,IF(AND('PT 3 Skill Tables'!H48=1,'PT 3 Skill Tables'!E48=1), 1, 0), IF(PTKEY=5,IF(AND('PT 4 Skill Tables'!H48=1,'PT 4 Skill Tables'!E48=1), 1, 0),IF(PTKEY=6,IF(AND('PT 5 Skill Tables'!H48=1,'PT 5 Skill Tables'!E48=1),1,0),IF(PTKEY=7,IF(AND('PT 6 Skill Tables'!H48=1,'PT 6 Skill Tables'!E48=1),1,0),""))))))</f>
        <v>0</v>
      </c>
      <c r="AC47" s="93">
        <f>IF(PTKEY=2, IF(AND('PT 1 Skill Tables'!Q48=1,'PT 1 Skill Tables'!N48=1), 1, 0), IF(PTKEY=3,IF(AND('PT 2 Skill Tables'!Q48=1,'PT 2 Skill Tables'!N48=1), 1, 0),IF(PTKEY=4,IF(AND('PT 3 Skill Tables'!Q48=1,'PT 3 Skill Tables'!N48=1), 1, 0), IF(PTKEY=5,IF(AND('PT 4 Skill Tables'!Q48=1,'PT 4 Skill Tables'!N48=1), 1, 0),IF(PTKEY=6,IF(AND('PT 5 Skill Tables'!Q48=1,'PT 5 Skill Tables'!N48=1),1,0),IF(PTKEY=7,IF(AND('PT 6 Skill Tables'!Q48=1,'PT 6 Skill Tables'!N48=1),1,0),""))))))</f>
        <v>0</v>
      </c>
      <c r="AD47" s="93">
        <f>IF(PTKEY=2, IF(AND('PT 1 Skill Tables'!X48=1,'PT 1 Skill Tables'!W48=1), 1, 0), IF(PTKEY=3,IF(AND('PT 2 Skill Tables'!X48=1,'PT 2 Skill Tables'!W48=1), 1, 0),IF(PTKEY=4,IF(AND('PT 3 Skill Tables'!X48=1,'PT 3 Skill Tables'!W48=1), 1, 0),IF(PTKEY=5,IF(AND('PT 4 Skill Tables'!X48=1,'PT 4 Skill Tables'!W48=1), 1, 0),IF(PTKEY=6,IF(AND('PT 5 Skill Tables'!X48=1,'PT 5 Skill Tables'!W48=1),1,0), IF(PTKEY=7,IF(AND('PT 6 Skill Tables'!X48=1,'PT 6 Skill Tables'!W48=1),1,0),""))))))</f>
        <v>0</v>
      </c>
      <c r="AE47" s="93">
        <f>IF(PTKEY=2, IF(AND('PT 1 Skill Tables'!AE48=1,'PT 1 Skill Tables'!AD48=1), 1, 0), IF(PTKEY=3,IF(AND('PT 2 Skill Tables'!AE48=1,'PT 2 Skill Tables'!AD48=1), 1, 0),IF(PTKEY=4,IF(AND('PT 3 Skill Tables'!AE48=1,'PT 3 Skill Tables'!AD48=1), 1, 0),IF(PTKEY=5,IF(AND('PT 4 Skill Tables'!AE48=1,'PT 4 Skill Tables'!AD48=1), 1, 0),IF(PTKEY=6,IF(AND('PT 5 Skill Tables'!AE48=1,'PT 5 Skill Tables'!AD48=1),1,0),IF(PTKEY=7,IF(AND('PT 6 Skill Tables'!AE48=1,'PT 6 Skill Tables'!AD48=1),1,0),""))))))</f>
        <v>0</v>
      </c>
      <c r="AG47" s="93">
        <v>44</v>
      </c>
      <c r="AH47" s="93">
        <f>IF(PTKEY=2, IF(AND('PT 1 Skill Tables'!I48=1,'PT 1 Skill Tables'!E48=1), 1, 0), IF(PTKEY=3,IF(AND('PT 2 Skill Tables'!I48=1,'PT 2 Skill Tables'!E48=1), 1, 0), IF(PTKEY=4,IF(AND('PT 3 Skill Tables'!I48=1,'PT 3 Skill Tables'!E48=1), 1, 0),IF(PTKEY=5,IF(AND('PT 4 Skill Tables'!I48=1,'PT 4 Skill Tables'!E48=1), 1, 0),IF(PTKEY=6,IF(AND('PT 5 Skill Tables'!I48=1,'PT 5 Skill Tables'!E48=1),1,0),IF(PTKEY=7,IF(AND('PT 6 Skill Tables'!I48=1,'PT 6 Skill Tables'!E48=1),1,0),""))))))</f>
        <v>0</v>
      </c>
      <c r="AI47" s="93">
        <f>IF(PTKEY=2,IF(AND('PT 1 Skill Tables'!R48=1,'PT 1 Skill Tables'!N48=1),1,0),IF(PTKEY=3,IF(AND('PT 2 Skill Tables'!R48=1,'PT 2 Skill Tables'!N48=1),1,0),IF(PTKEY=4,IF(AND('PT 3 Skill Tables'!R48=1,'PT 3 Skill Tables'!N48=1),1,0),IF(PTKEY=5,IF(AND('PT 4 Skill Tables'!R48=1,'PT 4 Skill Tables'!N48=1),1,0),IF(PTKEY=6,IF(AND('PT 5 Skill Tables'!R48=1,'PT 5 Skill Tables'!N48=1),1,0),IF(PTKEY=7,IF(AND('PT 6 Skill Tables'!R48=1,'PT 6 Skill Tables'!N48=1),1,0),""))))))</f>
        <v>0</v>
      </c>
      <c r="AJ47" s="93">
        <f>IF(PTKEY=2,IF(AND('PT 1 Skill Tables'!Y48=1,'PT 1 Skill Tables'!W48=1),1,0),IF(PTKEY=3,IF(AND('PT 2 Skill Tables'!Y48=1,'PT 2 Skill Tables'!W48=1),1,0),IF(PTKEY=4,IF(AND('PT 3 Skill Tables'!Y48=1,'PT 3 Skill Tables'!W48=1),1,0),IF(PTKEY=5,IF(AND('PT 4 Skill Tables'!Y48=1,'PT 4 Skill Tables'!W48=1),1,0),IF(PTKEY=6,IF(AND('PT 5 Skill Tables'!Y48=1,'PT 5 Skill Tables'!W48=1),1,0),IF(PTKEY=7,IF(AND('PT 6 Skill Tables'!Y48=1,'PT 6 Skill Tables'!W48=1),1,0),""))))))</f>
        <v>0</v>
      </c>
      <c r="AK47" s="93">
        <f>IF(PTKEY=2,IF(AND('PT 1 Skill Tables'!AF48=1,'PT 1 Skill Tables'!AD48=1),1,0),IF(PTKEY=3,IF(AND('PT 2 Skill Tables'!AF48=1,'PT 2 Skill Tables'!AD48=1),1,0),IF(PTKEY=4,IF(AND('PT 3 Skill Tables'!AF48=1,'PT 3 Skill Tables'!AD48=1),1,0),IF(PTKEY=5,IF(AND('PT 4 Skill Tables'!AF48=1,'PT 4 Skill Tables'!AD48=1),1,0),IF(PTKEY=6,IF(AND('PT 5 Skill Tables'!AF48=1,'PT 5 Skill Tables'!AD48=1),1,0),IF(PTKEY=7,IF(AND('PT 6 Skill Tables'!AF48=1,'PT 6 Skill Tables'!AD48=1),1,0),""))))))</f>
        <v>0</v>
      </c>
    </row>
    <row r="48" spans="7:37">
      <c r="G48" s="160">
        <v>45</v>
      </c>
      <c r="H48" s="159">
        <f>IF(Input!C54=(VLOOKUP(Input!B54,Table2[#All],PTKEY,TRUE)), 1, 0)</f>
        <v>0</v>
      </c>
      <c r="S48" s="93">
        <v>45</v>
      </c>
      <c r="T48" s="93">
        <f>IF(PTKEY=2,IF(AND('PT 1 Skill Tables'!F49=1,'PT 1 Skill Tables'!E49=1),1,0),IF(PTKEY=3,IF(AND('PT 2 Skill Tables'!F49=1,'PT 2 Skill Tables'!E49=1),1,0),IF(PTKEY=4,IF(AND('PT 3 Skill Tables'!F49=1,'PT 3 Skill Tables'!E49=1),1,0),IF(PTKEY=5,IF(AND('PT 4 Skill Tables'!F49=1,'PT 4 Skill Tables'!E49=1),1,0),IF(PTKEY=6,IF(AND('PT 5 Skill Tables'!F49=1,'PT 5 Skill Tables'!E49=1),1,0),IF(PTKEY=7,IF(AND('PT 6 Skill Tables'!F49=1,'PT 6 Skill Tables'!E49=1),1,0),""))))))</f>
        <v>0</v>
      </c>
      <c r="U48" s="93">
        <f>IF(PTKEY=2,IF(AND('PT 1 Skill Tables'!O49=1,'PT 1 Skill Tables'!N49=1),1,0),IF(PTKEY=3,IF(AND('PT 2 Skill Tables'!O49=1,'PT 2 Skill Tables'!N49=1),1,0),IF(PTKEY=4,IF(AND('PT 3 Skill Tables'!O49=1,'PT 3 Skill Tables'!N49=1),1,0),IF(PTKEY=5,IF(AND('PT 4 Skill Tables'!O49=1,'PT 4 Skill Tables'!N49=1),1,0),IF(PTKEY=6,IF(AND('PT 5 Skill Tables'!O49=1,'PT 5 Skill Tables'!N49=1),1,0),IF(PTKEY=7,IF(AND('PT 6 Skill Tables'!O49=1,'PT 6 Skill Tables'!N49=1),1,0),""))))))</f>
        <v>0</v>
      </c>
      <c r="W48" s="93">
        <v>45</v>
      </c>
      <c r="X48" s="93">
        <f>IF(PTKEY=2,IF(AND('PT 1 Skill Tables'!G49=1,'PT 1 Skill Tables'!E49=1),1,0),IF(PTKEY=3,IF(AND('PT 2 Skill Tables'!G49=1,'PT 2 Skill Tables'!E49=1),1,0),IF(PTKEY=4,IF(AND('PT 3 Skill Tables'!G49=1,'PT 3 Skill Tables'!E49=1),1,0),IF(PTKEY=5,IF(AND('PT 4 Skill Tables'!G49=1,'PT 4 Skill Tables'!E49=1),1,0),IF(PTKEY=6,IF(AND('PT 5 Skill Tables'!G49=1,'PT 5 Skill Tables'!E49=1),1,0),IF(PTKEY=7,IF(AND('PT 6 Skill Tables'!G49=1,'PT 6 Skill Tables'!E49=1),1,0),""))))))</f>
        <v>0</v>
      </c>
      <c r="Y48" s="93">
        <f>IF(PTKEY=2,IF(AND('PT 1 Skill Tables'!P49=1,'PT 1 Skill Tables'!N49=1),1,0),IF(PTKEY=3,IF(AND('PT 2 Skill Tables'!P49=1,'PT 2 Skill Tables'!N49=1),1,0),IF(PTKEY=4,IF(AND('PT 3 Skill Tables'!P49=1,'PT 3 Skill Tables'!N49=1),1,0),IF(PTKEY=5,IF(AND('PT 4 Skill Tables'!P49=1,'PT 4 Skill Tables'!N49=1),1,0),IF(PTKEY=6,IF(AND('PT 5 Skill Tables'!P49=1,'PT 5 Skill Tables'!N49=1),1,0),IF(PTKEY=7,IF(AND('PT 6 Skill Tables'!P49=1,'PT 6 Skill Tables'!N49=1),1,0),""))))))</f>
        <v>0</v>
      </c>
      <c r="AA48" s="135">
        <v>45</v>
      </c>
      <c r="AB48" s="93">
        <f>IF(PTKEY=2, IF(AND('PT 1 Skill Tables'!H49=1,'PT 1 Skill Tables'!E49=1), 1, 0), IF(PTKEY=3,IF(AND('PT 2 Skill Tables'!H49=1,'PT 2 Skill Tables'!E49=1), 1, 0),IF(PTKEY=4,IF(AND('PT 3 Skill Tables'!H49=1,'PT 3 Skill Tables'!E49=1), 1, 0), IF(PTKEY=5,IF(AND('PT 4 Skill Tables'!H49=1,'PT 4 Skill Tables'!E49=1), 1, 0),IF(PTKEY=6,IF(AND('PT 5 Skill Tables'!H49=1,'PT 5 Skill Tables'!E49=1),1,0),IF(PTKEY=7,IF(AND('PT 6 Skill Tables'!H49=1,'PT 6 Skill Tables'!E49=1),1,0),""))))))</f>
        <v>0</v>
      </c>
      <c r="AC48" s="93">
        <f>IF(PTKEY=2, IF(AND('PT 1 Skill Tables'!Q49=1,'PT 1 Skill Tables'!N49=1), 1, 0), IF(PTKEY=3,IF(AND('PT 2 Skill Tables'!Q49=1,'PT 2 Skill Tables'!N49=1), 1, 0),IF(PTKEY=4,IF(AND('PT 3 Skill Tables'!Q49=1,'PT 3 Skill Tables'!N49=1), 1, 0), IF(PTKEY=5,IF(AND('PT 4 Skill Tables'!Q49=1,'PT 4 Skill Tables'!N49=1), 1, 0),IF(PTKEY=6,IF(AND('PT 5 Skill Tables'!Q49=1,'PT 5 Skill Tables'!N49=1),1,0),IF(PTKEY=7,IF(AND('PT 6 Skill Tables'!Q49=1,'PT 6 Skill Tables'!N49=1),1,0),""))))))</f>
        <v>0</v>
      </c>
      <c r="AD48" s="93">
        <f>IF(PTKEY=2, IF(AND('PT 1 Skill Tables'!X49=1,'PT 1 Skill Tables'!W49=1), 1, 0), IF(PTKEY=3,IF(AND('PT 2 Skill Tables'!X49=1,'PT 2 Skill Tables'!W49=1), 1, 0),IF(PTKEY=4,IF(AND('PT 3 Skill Tables'!X49=1,'PT 3 Skill Tables'!W49=1), 1, 0),IF(PTKEY=5,IF(AND('PT 4 Skill Tables'!X49=1,'PT 4 Skill Tables'!W49=1), 1, 0),IF(PTKEY=6,IF(AND('PT 5 Skill Tables'!X49=1,'PT 5 Skill Tables'!W49=1),1,0), IF(PTKEY=7,IF(AND('PT 6 Skill Tables'!X49=1,'PT 6 Skill Tables'!W49=1),1,0),""))))))</f>
        <v>0</v>
      </c>
      <c r="AE48" s="93">
        <f>IF(PTKEY=2, IF(AND('PT 1 Skill Tables'!AE49=1,'PT 1 Skill Tables'!AD49=1), 1, 0), IF(PTKEY=3,IF(AND('PT 2 Skill Tables'!AE49=1,'PT 2 Skill Tables'!AD49=1), 1, 0),IF(PTKEY=4,IF(AND('PT 3 Skill Tables'!AE49=1,'PT 3 Skill Tables'!AD49=1), 1, 0),IF(PTKEY=5,IF(AND('PT 4 Skill Tables'!AE49=1,'PT 4 Skill Tables'!AD49=1), 1, 0),IF(PTKEY=6,IF(AND('PT 5 Skill Tables'!AE49=1,'PT 5 Skill Tables'!AD49=1),1,0),IF(PTKEY=7,IF(AND('PT 6 Skill Tables'!AE49=1,'PT 6 Skill Tables'!AD49=1),1,0),""))))))</f>
        <v>0</v>
      </c>
      <c r="AG48" s="93">
        <v>45</v>
      </c>
      <c r="AH48" s="93">
        <f>IF(PTKEY=2, IF(AND('PT 1 Skill Tables'!I49=1,'PT 1 Skill Tables'!E49=1), 1, 0), IF(PTKEY=3,IF(AND('PT 2 Skill Tables'!I49=1,'PT 2 Skill Tables'!E49=1), 1, 0), IF(PTKEY=4,IF(AND('PT 3 Skill Tables'!I49=1,'PT 3 Skill Tables'!E49=1), 1, 0),IF(PTKEY=5,IF(AND('PT 4 Skill Tables'!I49=1,'PT 4 Skill Tables'!E49=1), 1, 0),IF(PTKEY=6,IF(AND('PT 5 Skill Tables'!I49=1,'PT 5 Skill Tables'!E49=1),1,0),IF(PTKEY=7,IF(AND('PT 6 Skill Tables'!I49=1,'PT 6 Skill Tables'!E49=1),1,0),""))))))</f>
        <v>0</v>
      </c>
      <c r="AI48" s="93">
        <f>IF(PTKEY=2,IF(AND('PT 1 Skill Tables'!R49=1,'PT 1 Skill Tables'!N49=1),1,0),IF(PTKEY=3,IF(AND('PT 2 Skill Tables'!R49=1,'PT 2 Skill Tables'!N49=1),1,0),IF(PTKEY=4,IF(AND('PT 3 Skill Tables'!R49=1,'PT 3 Skill Tables'!N49=1),1,0),IF(PTKEY=5,IF(AND('PT 4 Skill Tables'!R49=1,'PT 4 Skill Tables'!N49=1),1,0),IF(PTKEY=6,IF(AND('PT 5 Skill Tables'!R49=1,'PT 5 Skill Tables'!N49=1),1,0),IF(PTKEY=7,IF(AND('PT 6 Skill Tables'!R49=1,'PT 6 Skill Tables'!N49=1),1,0),""))))))</f>
        <v>0</v>
      </c>
      <c r="AJ48" s="93">
        <f>IF(PTKEY=2,IF(AND('PT 1 Skill Tables'!Y49=1,'PT 1 Skill Tables'!W49=1),1,0),IF(PTKEY=3,IF(AND('PT 2 Skill Tables'!Y49=1,'PT 2 Skill Tables'!W49=1),1,0),IF(PTKEY=4,IF(AND('PT 3 Skill Tables'!Y49=1,'PT 3 Skill Tables'!W49=1),1,0),IF(PTKEY=5,IF(AND('PT 4 Skill Tables'!Y49=1,'PT 4 Skill Tables'!W49=1),1,0),IF(PTKEY=6,IF(AND('PT 5 Skill Tables'!Y49=1,'PT 5 Skill Tables'!W49=1),1,0),IF(PTKEY=7,IF(AND('PT 6 Skill Tables'!Y49=1,'PT 6 Skill Tables'!W49=1),1,0),""))))))</f>
        <v>0</v>
      </c>
      <c r="AK48" s="93">
        <f>IF(PTKEY=2,IF(AND('PT 1 Skill Tables'!AF49=1,'PT 1 Skill Tables'!AD49=1),1,0),IF(PTKEY=3,IF(AND('PT 2 Skill Tables'!AF49=1,'PT 2 Skill Tables'!AD49=1),1,0),IF(PTKEY=4,IF(AND('PT 3 Skill Tables'!AF49=1,'PT 3 Skill Tables'!AD49=1),1,0),IF(PTKEY=5,IF(AND('PT 4 Skill Tables'!AF49=1,'PT 4 Skill Tables'!AD49=1),1,0),IF(PTKEY=6,IF(AND('PT 5 Skill Tables'!AF49=1,'PT 5 Skill Tables'!AD49=1),1,0),IF(PTKEY=7,IF(AND('PT 6 Skill Tables'!AF49=1,'PT 6 Skill Tables'!AD49=1),1,0),""))))))</f>
        <v>0</v>
      </c>
    </row>
    <row r="49" spans="6:37">
      <c r="G49" s="158">
        <v>46</v>
      </c>
      <c r="H49" s="159">
        <f>IF(Input!C55=(VLOOKUP(Input!B55,Table2[#All],PTKEY,TRUE)), 1, 0)</f>
        <v>0</v>
      </c>
      <c r="S49" s="93">
        <v>46</v>
      </c>
      <c r="T49" s="93">
        <f>IF(PTKEY=2,IF(AND('PT 1 Skill Tables'!F50=1,'PT 1 Skill Tables'!E50=1),1,0),IF(PTKEY=3,IF(AND('PT 2 Skill Tables'!F50=1,'PT 2 Skill Tables'!E50=1),1,0),IF(PTKEY=4,IF(AND('PT 3 Skill Tables'!F50=1,'PT 3 Skill Tables'!E50=1),1,0),IF(PTKEY=5,IF(AND('PT 4 Skill Tables'!F50=1,'PT 4 Skill Tables'!E50=1),1,0),IF(PTKEY=6,IF(AND('PT 5 Skill Tables'!F50=1,'PT 5 Skill Tables'!E50=1),1,0),IF(PTKEY=7,IF(AND('PT 6 Skill Tables'!F50=1,'PT 6 Skill Tables'!E50=1),1,0),""))))))</f>
        <v>0</v>
      </c>
      <c r="U49" s="93">
        <f>IF(PTKEY=2,IF(AND('PT 1 Skill Tables'!O50=1,'PT 1 Skill Tables'!N50=1),1,0),IF(PTKEY=3,IF(AND('PT 2 Skill Tables'!O50=1,'PT 2 Skill Tables'!N50=1),1,0),IF(PTKEY=4,IF(AND('PT 3 Skill Tables'!O50=1,'PT 3 Skill Tables'!N50=1),1,0),IF(PTKEY=5,IF(AND('PT 4 Skill Tables'!O50=1,'PT 4 Skill Tables'!N50=1),1,0),IF(PTKEY=6,IF(AND('PT 5 Skill Tables'!O50=1,'PT 5 Skill Tables'!N50=1),1,0),IF(PTKEY=7,IF(AND('PT 6 Skill Tables'!O50=1,'PT 6 Skill Tables'!N50=1),1,0),""))))))</f>
        <v>0</v>
      </c>
      <c r="W49" s="93">
        <v>46</v>
      </c>
      <c r="X49" s="93">
        <f>IF(PTKEY=2,IF(AND('PT 1 Skill Tables'!G50=1,'PT 1 Skill Tables'!E50=1),1,0),IF(PTKEY=3,IF(AND('PT 2 Skill Tables'!G50=1,'PT 2 Skill Tables'!E50=1),1,0),IF(PTKEY=4,IF(AND('PT 3 Skill Tables'!G50=1,'PT 3 Skill Tables'!E50=1),1,0),IF(PTKEY=5,IF(AND('PT 4 Skill Tables'!G50=1,'PT 4 Skill Tables'!E50=1),1,0),IF(PTKEY=6,IF(AND('PT 5 Skill Tables'!G50=1,'PT 5 Skill Tables'!E50=1),1,0),IF(PTKEY=7,IF(AND('PT 6 Skill Tables'!G50=1,'PT 6 Skill Tables'!E50=1),1,0),""))))))</f>
        <v>0</v>
      </c>
      <c r="Y49" s="93">
        <f>IF(PTKEY=2,IF(AND('PT 1 Skill Tables'!P50=1,'PT 1 Skill Tables'!N50=1),1,0),IF(PTKEY=3,IF(AND('PT 2 Skill Tables'!P50=1,'PT 2 Skill Tables'!N50=1),1,0),IF(PTKEY=4,IF(AND('PT 3 Skill Tables'!P50=1,'PT 3 Skill Tables'!N50=1),1,0),IF(PTKEY=5,IF(AND('PT 4 Skill Tables'!P50=1,'PT 4 Skill Tables'!N50=1),1,0),IF(PTKEY=6,IF(AND('PT 5 Skill Tables'!P50=1,'PT 5 Skill Tables'!N50=1),1,0),IF(PTKEY=7,IF(AND('PT 6 Skill Tables'!P50=1,'PT 6 Skill Tables'!N50=1),1,0),""))))))</f>
        <v>0</v>
      </c>
      <c r="AA49" s="136">
        <v>46</v>
      </c>
      <c r="AB49" s="93">
        <f>IF(PTKEY=2, IF(AND('PT 1 Skill Tables'!H50=1,'PT 1 Skill Tables'!E50=1), 1, 0), IF(PTKEY=3,IF(AND('PT 2 Skill Tables'!H50=1,'PT 2 Skill Tables'!E50=1), 1, 0),IF(PTKEY=4,IF(AND('PT 3 Skill Tables'!H50=1,'PT 3 Skill Tables'!E50=1), 1, 0), IF(PTKEY=5,IF(AND('PT 4 Skill Tables'!H50=1,'PT 4 Skill Tables'!E50=1), 1, 0),IF(PTKEY=6,IF(AND('PT 5 Skill Tables'!H50=1,'PT 5 Skill Tables'!E50=1),1,0),IF(PTKEY=7,IF(AND('PT 6 Skill Tables'!H50=1,'PT 6 Skill Tables'!E50=1),1,0),""))))))</f>
        <v>0</v>
      </c>
      <c r="AC49" s="93">
        <f>IF(PTKEY=2, IF(AND('PT 1 Skill Tables'!Q50=1,'PT 1 Skill Tables'!N50=1), 1, 0), IF(PTKEY=3,IF(AND('PT 2 Skill Tables'!Q50=1,'PT 2 Skill Tables'!N50=1), 1, 0),IF(PTKEY=4,IF(AND('PT 3 Skill Tables'!Q50=1,'PT 3 Skill Tables'!N50=1), 1, 0), IF(PTKEY=5,IF(AND('PT 4 Skill Tables'!Q50=1,'PT 4 Skill Tables'!N50=1), 1, 0),IF(PTKEY=6,IF(AND('PT 5 Skill Tables'!Q50=1,'PT 5 Skill Tables'!N50=1),1,0),IF(PTKEY=7,IF(AND('PT 6 Skill Tables'!Q50=1,'PT 6 Skill Tables'!N50=1),1,0),""))))))</f>
        <v>0</v>
      </c>
      <c r="AD49" s="93">
        <f>IF(PTKEY=2, IF(AND('PT 1 Skill Tables'!X50=1,'PT 1 Skill Tables'!W50=1), 1, 0), IF(PTKEY=3,IF(AND('PT 2 Skill Tables'!X50=1,'PT 2 Skill Tables'!W50=1), 1, 0),IF(PTKEY=4,IF(AND('PT 3 Skill Tables'!X50=1,'PT 3 Skill Tables'!W50=1), 1, 0),IF(PTKEY=5,IF(AND('PT 4 Skill Tables'!X50=1,'PT 4 Skill Tables'!W50=1), 1, 0),IF(PTKEY=6,IF(AND('PT 5 Skill Tables'!X50=1,'PT 5 Skill Tables'!W50=1),1,0), IF(PTKEY=7,IF(AND('PT 6 Skill Tables'!X50=1,'PT 6 Skill Tables'!W50=1),1,0),""))))))</f>
        <v>0</v>
      </c>
      <c r="AE49" s="93">
        <f>IF(PTKEY=2, IF(AND('PT 1 Skill Tables'!AE50=1,'PT 1 Skill Tables'!AD50=1), 1, 0), IF(PTKEY=3,IF(AND('PT 2 Skill Tables'!AE50=1,'PT 2 Skill Tables'!AD50=1), 1, 0),IF(PTKEY=4,IF(AND('PT 3 Skill Tables'!AE50=1,'PT 3 Skill Tables'!AD50=1), 1, 0),IF(PTKEY=5,IF(AND('PT 4 Skill Tables'!AE50=1,'PT 4 Skill Tables'!AD50=1), 1, 0),IF(PTKEY=6,IF(AND('PT 5 Skill Tables'!AE50=1,'PT 5 Skill Tables'!AD50=1),1,0),IF(PTKEY=7,IF(AND('PT 6 Skill Tables'!AE50=1,'PT 6 Skill Tables'!AD50=1),1,0),""))))))</f>
        <v>0</v>
      </c>
      <c r="AG49" s="93">
        <v>46</v>
      </c>
      <c r="AH49" s="93">
        <f>IF(PTKEY=2, IF(AND('PT 1 Skill Tables'!I50=1,'PT 1 Skill Tables'!E50=1), 1, 0), IF(PTKEY=3,IF(AND('PT 2 Skill Tables'!I50=1,'PT 2 Skill Tables'!E50=1), 1, 0), IF(PTKEY=4,IF(AND('PT 3 Skill Tables'!I50=1,'PT 3 Skill Tables'!E50=1), 1, 0),IF(PTKEY=5,IF(AND('PT 4 Skill Tables'!I50=1,'PT 4 Skill Tables'!E50=1), 1, 0),IF(PTKEY=6,IF(AND('PT 5 Skill Tables'!I50=1,'PT 5 Skill Tables'!E50=1),1,0),IF(PTKEY=7,IF(AND('PT 6 Skill Tables'!I50=1,'PT 6 Skill Tables'!E50=1),1,0),""))))))</f>
        <v>0</v>
      </c>
      <c r="AI49" s="93">
        <f>IF(PTKEY=2,IF(AND('PT 1 Skill Tables'!R50=1,'PT 1 Skill Tables'!N50=1),1,0),IF(PTKEY=3,IF(AND('PT 2 Skill Tables'!R50=1,'PT 2 Skill Tables'!N50=1),1,0),IF(PTKEY=4,IF(AND('PT 3 Skill Tables'!R50=1,'PT 3 Skill Tables'!N50=1),1,0),IF(PTKEY=5,IF(AND('PT 4 Skill Tables'!R50=1,'PT 4 Skill Tables'!N50=1),1,0),IF(PTKEY=6,IF(AND('PT 5 Skill Tables'!R50=1,'PT 5 Skill Tables'!N50=1),1,0),IF(PTKEY=7,IF(AND('PT 6 Skill Tables'!R50=1,'PT 6 Skill Tables'!N50=1),1,0),""))))))</f>
        <v>0</v>
      </c>
      <c r="AJ49" s="93">
        <f>IF(PTKEY=2,IF(AND('PT 1 Skill Tables'!Y50=1,'PT 1 Skill Tables'!W50=1),1,0),IF(PTKEY=3,IF(AND('PT 2 Skill Tables'!Y50=1,'PT 2 Skill Tables'!W50=1),1,0),IF(PTKEY=4,IF(AND('PT 3 Skill Tables'!Y50=1,'PT 3 Skill Tables'!W50=1),1,0),IF(PTKEY=5,IF(AND('PT 4 Skill Tables'!Y50=1,'PT 4 Skill Tables'!W50=1),1,0),IF(PTKEY=6,IF(AND('PT 5 Skill Tables'!Y50=1,'PT 5 Skill Tables'!W50=1),1,0),IF(PTKEY=7,IF(AND('PT 6 Skill Tables'!Y50=1,'PT 6 Skill Tables'!W50=1),1,0),""))))))</f>
        <v>0</v>
      </c>
      <c r="AK49" s="93">
        <f>IF(PTKEY=2,IF(AND('PT 1 Skill Tables'!AF50=1,'PT 1 Skill Tables'!AD50=1),1,0),IF(PTKEY=3,IF(AND('PT 2 Skill Tables'!AF50=1,'PT 2 Skill Tables'!AD50=1),1,0),IF(PTKEY=4,IF(AND('PT 3 Skill Tables'!AF50=1,'PT 3 Skill Tables'!AD50=1),1,0),IF(PTKEY=5,IF(AND('PT 4 Skill Tables'!AF50=1,'PT 4 Skill Tables'!AD50=1),1,0),IF(PTKEY=6,IF(AND('PT 5 Skill Tables'!AF50=1,'PT 5 Skill Tables'!AD50=1),1,0),IF(PTKEY=7,IF(AND('PT 6 Skill Tables'!AF50=1,'PT 6 Skill Tables'!AD50=1),1,0),""))))))</f>
        <v>0</v>
      </c>
    </row>
    <row r="50" spans="6:37">
      <c r="G50" s="160">
        <v>47</v>
      </c>
      <c r="H50" s="159">
        <f>IF(Input!C56=(VLOOKUP(Input!B56,Table2[#All],PTKEY,TRUE)), 1, 0)</f>
        <v>0</v>
      </c>
      <c r="S50" s="93">
        <v>47</v>
      </c>
      <c r="T50" s="93">
        <f>IF(PTKEY=2,IF(AND('PT 1 Skill Tables'!F51=1,'PT 1 Skill Tables'!E51=1),1,0),IF(PTKEY=3,IF(AND('PT 2 Skill Tables'!F51=1,'PT 2 Skill Tables'!E51=1),1,0),IF(PTKEY=4,IF(AND('PT 3 Skill Tables'!F51=1,'PT 3 Skill Tables'!E51=1),1,0),IF(PTKEY=5,IF(AND('PT 4 Skill Tables'!F51=1,'PT 4 Skill Tables'!E51=1),1,0),IF(PTKEY=6,IF(AND('PT 5 Skill Tables'!F51=1,'PT 5 Skill Tables'!E51=1),1,0),IF(PTKEY=7,IF(AND('PT 6 Skill Tables'!F51=1,'PT 6 Skill Tables'!E51=1),1,0),""))))))</f>
        <v>0</v>
      </c>
      <c r="U50" s="93">
        <f>IF(PTKEY=2,IF(AND('PT 1 Skill Tables'!O51=1,'PT 1 Skill Tables'!N51=1),1,0),IF(PTKEY=3,IF(AND('PT 2 Skill Tables'!O51=1,'PT 2 Skill Tables'!N51=1),1,0),IF(PTKEY=4,IF(AND('PT 3 Skill Tables'!O51=1,'PT 3 Skill Tables'!N51=1),1,0),IF(PTKEY=5,IF(AND('PT 4 Skill Tables'!O51=1,'PT 4 Skill Tables'!N51=1),1,0),IF(PTKEY=6,IF(AND('PT 5 Skill Tables'!O51=1,'PT 5 Skill Tables'!N51=1),1,0),IF(PTKEY=7,IF(AND('PT 6 Skill Tables'!O51=1,'PT 6 Skill Tables'!N51=1),1,0),""))))))</f>
        <v>0</v>
      </c>
      <c r="W50" s="93">
        <v>47</v>
      </c>
      <c r="X50" s="93">
        <f>IF(PTKEY=2,IF(AND('PT 1 Skill Tables'!G51=1,'PT 1 Skill Tables'!E51=1),1,0),IF(PTKEY=3,IF(AND('PT 2 Skill Tables'!G51=1,'PT 2 Skill Tables'!E51=1),1,0),IF(PTKEY=4,IF(AND('PT 3 Skill Tables'!G51=1,'PT 3 Skill Tables'!E51=1),1,0),IF(PTKEY=5,IF(AND('PT 4 Skill Tables'!G51=1,'PT 4 Skill Tables'!E51=1),1,0),IF(PTKEY=6,IF(AND('PT 5 Skill Tables'!G51=1,'PT 5 Skill Tables'!E51=1),1,0),IF(PTKEY=7,IF(AND('PT 6 Skill Tables'!G51=1,'PT 6 Skill Tables'!E51=1),1,0),""))))))</f>
        <v>0</v>
      </c>
      <c r="Y50" s="93">
        <f>IF(PTKEY=2,IF(AND('PT 1 Skill Tables'!P51=1,'PT 1 Skill Tables'!N51=1),1,0),IF(PTKEY=3,IF(AND('PT 2 Skill Tables'!P51=1,'PT 2 Skill Tables'!N51=1),1,0),IF(PTKEY=4,IF(AND('PT 3 Skill Tables'!P51=1,'PT 3 Skill Tables'!N51=1),1,0),IF(PTKEY=5,IF(AND('PT 4 Skill Tables'!P51=1,'PT 4 Skill Tables'!N51=1),1,0),IF(PTKEY=6,IF(AND('PT 5 Skill Tables'!P51=1,'PT 5 Skill Tables'!N51=1),1,0),IF(PTKEY=7,IF(AND('PT 6 Skill Tables'!P51=1,'PT 6 Skill Tables'!N51=1),1,0),""))))))</f>
        <v>0</v>
      </c>
      <c r="AA50" s="135">
        <v>47</v>
      </c>
      <c r="AB50" s="93">
        <f>IF(PTKEY=2, IF(AND('PT 1 Skill Tables'!H51=1,'PT 1 Skill Tables'!E51=1), 1, 0), IF(PTKEY=3,IF(AND('PT 2 Skill Tables'!H51=1,'PT 2 Skill Tables'!E51=1), 1, 0),IF(PTKEY=4,IF(AND('PT 3 Skill Tables'!H51=1,'PT 3 Skill Tables'!E51=1), 1, 0), IF(PTKEY=5,IF(AND('PT 4 Skill Tables'!H51=1,'PT 4 Skill Tables'!E51=1), 1, 0),IF(PTKEY=6,IF(AND('PT 5 Skill Tables'!H51=1,'PT 5 Skill Tables'!E51=1),1,0),IF(PTKEY=7,IF(AND('PT 6 Skill Tables'!H51=1,'PT 6 Skill Tables'!E51=1),1,0),""))))))</f>
        <v>0</v>
      </c>
      <c r="AC50" s="93">
        <f>IF(PTKEY=2, IF(AND('PT 1 Skill Tables'!Q51=1,'PT 1 Skill Tables'!N51=1), 1, 0), IF(PTKEY=3,IF(AND('PT 2 Skill Tables'!Q51=1,'PT 2 Skill Tables'!N51=1), 1, 0),IF(PTKEY=4,IF(AND('PT 3 Skill Tables'!Q51=1,'PT 3 Skill Tables'!N51=1), 1, 0), IF(PTKEY=5,IF(AND('PT 4 Skill Tables'!Q51=1,'PT 4 Skill Tables'!N51=1), 1, 0),IF(PTKEY=6,IF(AND('PT 5 Skill Tables'!Q51=1,'PT 5 Skill Tables'!N51=1),1,0),IF(PTKEY=7,IF(AND('PT 6 Skill Tables'!Q51=1,'PT 6 Skill Tables'!N51=1),1,0),""))))))</f>
        <v>0</v>
      </c>
      <c r="AD50" s="93">
        <f>IF(PTKEY=2, IF(AND('PT 1 Skill Tables'!X51=1,'PT 1 Skill Tables'!W51=1), 1, 0), IF(PTKEY=3,IF(AND('PT 2 Skill Tables'!X51=1,'PT 2 Skill Tables'!W51=1), 1, 0),IF(PTKEY=4,IF(AND('PT 3 Skill Tables'!X51=1,'PT 3 Skill Tables'!W51=1), 1, 0),IF(PTKEY=5,IF(AND('PT 4 Skill Tables'!X51=1,'PT 4 Skill Tables'!W51=1), 1, 0),IF(PTKEY=6,IF(AND('PT 5 Skill Tables'!X51=1,'PT 5 Skill Tables'!W51=1),1,0), IF(PTKEY=7,IF(AND('PT 6 Skill Tables'!X51=1,'PT 6 Skill Tables'!W51=1),1,0),""))))))</f>
        <v>0</v>
      </c>
      <c r="AE50" s="93">
        <f>IF(PTKEY=2, IF(AND('PT 1 Skill Tables'!AE51=1,'PT 1 Skill Tables'!AD51=1), 1, 0), IF(PTKEY=3,IF(AND('PT 2 Skill Tables'!AE51=1,'PT 2 Skill Tables'!AD51=1), 1, 0),IF(PTKEY=4,IF(AND('PT 3 Skill Tables'!AE51=1,'PT 3 Skill Tables'!AD51=1), 1, 0),IF(PTKEY=5,IF(AND('PT 4 Skill Tables'!AE51=1,'PT 4 Skill Tables'!AD51=1), 1, 0),IF(PTKEY=6,IF(AND('PT 5 Skill Tables'!AE51=1,'PT 5 Skill Tables'!AD51=1),1,0),IF(PTKEY=7,IF(AND('PT 6 Skill Tables'!AE51=1,'PT 6 Skill Tables'!AD51=1),1,0),""))))))</f>
        <v>0</v>
      </c>
      <c r="AG50" s="93">
        <v>47</v>
      </c>
      <c r="AH50" s="93">
        <f>IF(PTKEY=2, IF(AND('PT 1 Skill Tables'!I51=1,'PT 1 Skill Tables'!E51=1), 1, 0), IF(PTKEY=3,IF(AND('PT 2 Skill Tables'!I51=1,'PT 2 Skill Tables'!E51=1), 1, 0), IF(PTKEY=4,IF(AND('PT 3 Skill Tables'!I51=1,'PT 3 Skill Tables'!E51=1), 1, 0),IF(PTKEY=5,IF(AND('PT 4 Skill Tables'!I51=1,'PT 4 Skill Tables'!E51=1), 1, 0),IF(PTKEY=6,IF(AND('PT 5 Skill Tables'!I51=1,'PT 5 Skill Tables'!E51=1),1,0),IF(PTKEY=7,IF(AND('PT 6 Skill Tables'!I51=1,'PT 6 Skill Tables'!E51=1),1,0),""))))))</f>
        <v>0</v>
      </c>
      <c r="AI50" s="93">
        <f>IF(PTKEY=2,IF(AND('PT 1 Skill Tables'!R51=1,'PT 1 Skill Tables'!N51=1),1,0),IF(PTKEY=3,IF(AND('PT 2 Skill Tables'!R51=1,'PT 2 Skill Tables'!N51=1),1,0),IF(PTKEY=4,IF(AND('PT 3 Skill Tables'!R51=1,'PT 3 Skill Tables'!N51=1),1,0),IF(PTKEY=5,IF(AND('PT 4 Skill Tables'!R51=1,'PT 4 Skill Tables'!N51=1),1,0),IF(PTKEY=6,IF(AND('PT 5 Skill Tables'!R51=1,'PT 5 Skill Tables'!N51=1),1,0),IF(PTKEY=7,IF(AND('PT 6 Skill Tables'!R51=1,'PT 6 Skill Tables'!N51=1),1,0),""))))))</f>
        <v>0</v>
      </c>
      <c r="AJ50" s="93">
        <f>IF(PTKEY=2,IF(AND('PT 1 Skill Tables'!Y51=1,'PT 1 Skill Tables'!W51=1),1,0),IF(PTKEY=3,IF(AND('PT 2 Skill Tables'!Y51=1,'PT 2 Skill Tables'!W51=1),1,0),IF(PTKEY=4,IF(AND('PT 3 Skill Tables'!Y51=1,'PT 3 Skill Tables'!W51=1),1,0),IF(PTKEY=5,IF(AND('PT 4 Skill Tables'!Y51=1,'PT 4 Skill Tables'!W51=1),1,0),IF(PTKEY=6,IF(AND('PT 5 Skill Tables'!Y51=1,'PT 5 Skill Tables'!W51=1),1,0),IF(PTKEY=7,IF(AND('PT 6 Skill Tables'!Y51=1,'PT 6 Skill Tables'!W51=1),1,0),""))))))</f>
        <v>0</v>
      </c>
      <c r="AK50" s="93">
        <f>IF(PTKEY=2,IF(AND('PT 1 Skill Tables'!AF51=1,'PT 1 Skill Tables'!AD51=1),1,0),IF(PTKEY=3,IF(AND('PT 2 Skill Tables'!AF51=1,'PT 2 Skill Tables'!AD51=1),1,0),IF(PTKEY=4,IF(AND('PT 3 Skill Tables'!AF51=1,'PT 3 Skill Tables'!AD51=1),1,0),IF(PTKEY=5,IF(AND('PT 4 Skill Tables'!AF51=1,'PT 4 Skill Tables'!AD51=1),1,0),IF(PTKEY=6,IF(AND('PT 5 Skill Tables'!AF51=1,'PT 5 Skill Tables'!AD51=1),1,0),IF(PTKEY=7,IF(AND('PT 6 Skill Tables'!AF51=1,'PT 6 Skill Tables'!AD51=1),1,0),""))))))</f>
        <v>0</v>
      </c>
    </row>
    <row r="51" spans="6:37">
      <c r="G51" s="158">
        <v>48</v>
      </c>
      <c r="H51" s="159">
        <f>IF(Input!C57=(VLOOKUP(Input!B57,Table2[#All],PTKEY,TRUE)), 1, 0)</f>
        <v>0</v>
      </c>
      <c r="S51" s="93">
        <v>48</v>
      </c>
      <c r="T51" s="93">
        <f>IF(PTKEY=2,IF(AND('PT 1 Skill Tables'!F52=1,'PT 1 Skill Tables'!E52=1),1,0),IF(PTKEY=3,IF(AND('PT 2 Skill Tables'!F52=1,'PT 2 Skill Tables'!E52=1),1,0),IF(PTKEY=4,IF(AND('PT 3 Skill Tables'!F52=1,'PT 3 Skill Tables'!E52=1),1,0),IF(PTKEY=5,IF(AND('PT 4 Skill Tables'!F52=1,'PT 4 Skill Tables'!E52=1),1,0),IF(PTKEY=6,IF(AND('PT 5 Skill Tables'!F52=1,'PT 5 Skill Tables'!E52=1),1,0),IF(PTKEY=7,IF(AND('PT 6 Skill Tables'!F52=1,'PT 6 Skill Tables'!E52=1),1,0),""))))))</f>
        <v>0</v>
      </c>
      <c r="U51" s="93">
        <f>IF(PTKEY=2,IF(AND('PT 1 Skill Tables'!O52=1,'PT 1 Skill Tables'!N52=1),1,0),IF(PTKEY=3,IF(AND('PT 2 Skill Tables'!O52=1,'PT 2 Skill Tables'!N52=1),1,0),IF(PTKEY=4,IF(AND('PT 3 Skill Tables'!O52=1,'PT 3 Skill Tables'!N52=1),1,0),IF(PTKEY=5,IF(AND('PT 4 Skill Tables'!O52=1,'PT 4 Skill Tables'!N52=1),1,0),IF(PTKEY=6,IF(AND('PT 5 Skill Tables'!O52=1,'PT 5 Skill Tables'!N52=1),1,0),IF(PTKEY=7,IF(AND('PT 6 Skill Tables'!O52=1,'PT 6 Skill Tables'!N52=1),1,0),""))))))</f>
        <v>0</v>
      </c>
      <c r="W51" s="93">
        <v>48</v>
      </c>
      <c r="X51" s="93">
        <f>IF(PTKEY=2,IF(AND('PT 1 Skill Tables'!G52=1,'PT 1 Skill Tables'!E52=1),1,0),IF(PTKEY=3,IF(AND('PT 2 Skill Tables'!G52=1,'PT 2 Skill Tables'!E52=1),1,0),IF(PTKEY=4,IF(AND('PT 3 Skill Tables'!G52=1,'PT 3 Skill Tables'!E52=1),1,0),IF(PTKEY=5,IF(AND('PT 4 Skill Tables'!G52=1,'PT 4 Skill Tables'!E52=1),1,0),IF(PTKEY=6,IF(AND('PT 5 Skill Tables'!G52=1,'PT 5 Skill Tables'!E52=1),1,0),IF(PTKEY=7,IF(AND('PT 6 Skill Tables'!G52=1,'PT 6 Skill Tables'!E52=1),1,0),""))))))</f>
        <v>0</v>
      </c>
      <c r="Y51" s="93">
        <f>IF(PTKEY=2,IF(AND('PT 1 Skill Tables'!P52=1,'PT 1 Skill Tables'!N52=1),1,0),IF(PTKEY=3,IF(AND('PT 2 Skill Tables'!P52=1,'PT 2 Skill Tables'!N52=1),1,0),IF(PTKEY=4,IF(AND('PT 3 Skill Tables'!P52=1,'PT 3 Skill Tables'!N52=1),1,0),IF(PTKEY=5,IF(AND('PT 4 Skill Tables'!P52=1,'PT 4 Skill Tables'!N52=1),1,0),IF(PTKEY=6,IF(AND('PT 5 Skill Tables'!P52=1,'PT 5 Skill Tables'!N52=1),1,0),IF(PTKEY=7,IF(AND('PT 6 Skill Tables'!P52=1,'PT 6 Skill Tables'!N52=1),1,0),""))))))</f>
        <v>0</v>
      </c>
      <c r="AA51" s="136">
        <v>48</v>
      </c>
      <c r="AB51" s="93">
        <f>IF(PTKEY=2, IF(AND('PT 1 Skill Tables'!H52=1,'PT 1 Skill Tables'!E52=1), 1, 0), IF(PTKEY=3,IF(AND('PT 2 Skill Tables'!H52=1,'PT 2 Skill Tables'!E52=1), 1, 0),IF(PTKEY=4,IF(AND('PT 3 Skill Tables'!H52=1,'PT 3 Skill Tables'!E52=1), 1, 0), IF(PTKEY=5,IF(AND('PT 4 Skill Tables'!H52=1,'PT 4 Skill Tables'!E52=1), 1, 0),IF(PTKEY=6,IF(AND('PT 5 Skill Tables'!H52=1,'PT 5 Skill Tables'!E52=1),1,0),IF(PTKEY=7,IF(AND('PT 6 Skill Tables'!H52=1,'PT 6 Skill Tables'!E52=1),1,0),""))))))</f>
        <v>0</v>
      </c>
      <c r="AC51" s="93">
        <f>IF(PTKEY=2, IF(AND('PT 1 Skill Tables'!Q52=1,'PT 1 Skill Tables'!N52=1), 1, 0), IF(PTKEY=3,IF(AND('PT 2 Skill Tables'!Q52=1,'PT 2 Skill Tables'!N52=1), 1, 0),IF(PTKEY=4,IF(AND('PT 3 Skill Tables'!Q52=1,'PT 3 Skill Tables'!N52=1), 1, 0), IF(PTKEY=5,IF(AND('PT 4 Skill Tables'!Q52=1,'PT 4 Skill Tables'!N52=1), 1, 0),IF(PTKEY=6,IF(AND('PT 5 Skill Tables'!Q52=1,'PT 5 Skill Tables'!N52=1),1,0),IF(PTKEY=7,IF(AND('PT 6 Skill Tables'!Q52=1,'PT 6 Skill Tables'!N52=1),1,0),""))))))</f>
        <v>0</v>
      </c>
      <c r="AD51" s="93">
        <f>IF(PTKEY=2, IF(AND('PT 1 Skill Tables'!X52=1,'PT 1 Skill Tables'!W52=1), 1, 0), IF(PTKEY=3,IF(AND('PT 2 Skill Tables'!X52=1,'PT 2 Skill Tables'!W52=1), 1, 0),IF(PTKEY=4,IF(AND('PT 3 Skill Tables'!X52=1,'PT 3 Skill Tables'!W52=1), 1, 0),IF(PTKEY=5,IF(AND('PT 4 Skill Tables'!X52=1,'PT 4 Skill Tables'!W52=1), 1, 0),IF(PTKEY=6,IF(AND('PT 5 Skill Tables'!X52=1,'PT 5 Skill Tables'!W52=1),1,0), IF(PTKEY=7,IF(AND('PT 6 Skill Tables'!X52=1,'PT 6 Skill Tables'!W52=1),1,0),""))))))</f>
        <v>0</v>
      </c>
      <c r="AE51" s="93">
        <f>IF(PTKEY=2, IF(AND('PT 1 Skill Tables'!AE52=1,'PT 1 Skill Tables'!AD52=1), 1, 0), IF(PTKEY=3,IF(AND('PT 2 Skill Tables'!AE52=1,'PT 2 Skill Tables'!AD52=1), 1, 0),IF(PTKEY=4,IF(AND('PT 3 Skill Tables'!AE52=1,'PT 3 Skill Tables'!AD52=1), 1, 0),IF(PTKEY=5,IF(AND('PT 4 Skill Tables'!AE52=1,'PT 4 Skill Tables'!AD52=1), 1, 0),IF(PTKEY=6,IF(AND('PT 5 Skill Tables'!AE52=1,'PT 5 Skill Tables'!AD52=1),1,0),IF(PTKEY=7,IF(AND('PT 6 Skill Tables'!AE52=1,'PT 6 Skill Tables'!AD52=1),1,0),""))))))</f>
        <v>0</v>
      </c>
      <c r="AG51" s="93">
        <v>48</v>
      </c>
      <c r="AH51" s="93">
        <f>IF(PTKEY=2, IF(AND('PT 1 Skill Tables'!I52=1,'PT 1 Skill Tables'!E52=1), 1, 0), IF(PTKEY=3,IF(AND('PT 2 Skill Tables'!I52=1,'PT 2 Skill Tables'!E52=1), 1, 0), IF(PTKEY=4,IF(AND('PT 3 Skill Tables'!I52=1,'PT 3 Skill Tables'!E52=1), 1, 0),IF(PTKEY=5,IF(AND('PT 4 Skill Tables'!I52=1,'PT 4 Skill Tables'!E52=1), 1, 0),IF(PTKEY=6,IF(AND('PT 5 Skill Tables'!I52=1,'PT 5 Skill Tables'!E52=1),1,0),IF(PTKEY=7,IF(AND('PT 6 Skill Tables'!I52=1,'PT 6 Skill Tables'!E52=1),1,0),""))))))</f>
        <v>0</v>
      </c>
      <c r="AI51" s="93">
        <f>IF(PTKEY=2,IF(AND('PT 1 Skill Tables'!R52=1,'PT 1 Skill Tables'!N52=1),1,0),IF(PTKEY=3,IF(AND('PT 2 Skill Tables'!R52=1,'PT 2 Skill Tables'!N52=1),1,0),IF(PTKEY=4,IF(AND('PT 3 Skill Tables'!R52=1,'PT 3 Skill Tables'!N52=1),1,0),IF(PTKEY=5,IF(AND('PT 4 Skill Tables'!R52=1,'PT 4 Skill Tables'!N52=1),1,0),IF(PTKEY=6,IF(AND('PT 5 Skill Tables'!R52=1,'PT 5 Skill Tables'!N52=1),1,0),IF(PTKEY=7,IF(AND('PT 6 Skill Tables'!R52=1,'PT 6 Skill Tables'!N52=1),1,0),""))))))</f>
        <v>0</v>
      </c>
      <c r="AJ51" s="93">
        <f>IF(PTKEY=2,IF(AND('PT 1 Skill Tables'!Y52=1,'PT 1 Skill Tables'!W52=1),1,0),IF(PTKEY=3,IF(AND('PT 2 Skill Tables'!Y52=1,'PT 2 Skill Tables'!W52=1),1,0),IF(PTKEY=4,IF(AND('PT 3 Skill Tables'!Y52=1,'PT 3 Skill Tables'!W52=1),1,0),IF(PTKEY=5,IF(AND('PT 4 Skill Tables'!Y52=1,'PT 4 Skill Tables'!W52=1),1,0),IF(PTKEY=6,IF(AND('PT 5 Skill Tables'!Y52=1,'PT 5 Skill Tables'!W52=1),1,0),IF(PTKEY=7,IF(AND('PT 6 Skill Tables'!Y52=1,'PT 6 Skill Tables'!W52=1),1,0),""))))))</f>
        <v>0</v>
      </c>
      <c r="AK51" s="93">
        <f>IF(PTKEY=2,IF(AND('PT 1 Skill Tables'!AF52=1,'PT 1 Skill Tables'!AD52=1),1,0),IF(PTKEY=3,IF(AND('PT 2 Skill Tables'!AF52=1,'PT 2 Skill Tables'!AD52=1),1,0),IF(PTKEY=4,IF(AND('PT 3 Skill Tables'!AF52=1,'PT 3 Skill Tables'!AD52=1),1,0),IF(PTKEY=5,IF(AND('PT 4 Skill Tables'!AF52=1,'PT 4 Skill Tables'!AD52=1),1,0),IF(PTKEY=6,IF(AND('PT 5 Skill Tables'!AF52=1,'PT 5 Skill Tables'!AD52=1),1,0),IF(PTKEY=7,IF(AND('PT 6 Skill Tables'!AF52=1,'PT 6 Skill Tables'!AD52=1),1,0),""))))))</f>
        <v>0</v>
      </c>
    </row>
    <row r="52" spans="6:37">
      <c r="G52" s="160">
        <v>49</v>
      </c>
      <c r="H52" s="159">
        <f>IF(Input!C58=(VLOOKUP(Input!B58,Table2[#All],PTKEY,TRUE)), 1, 0)</f>
        <v>0</v>
      </c>
      <c r="S52" s="93">
        <v>49</v>
      </c>
      <c r="T52" s="93">
        <f>IF(PTKEY=2,IF(AND('PT 1 Skill Tables'!F53=1,'PT 1 Skill Tables'!E53=1),1,0),IF(PTKEY=3,IF(AND('PT 2 Skill Tables'!F53=1,'PT 2 Skill Tables'!E53=1),1,0),IF(PTKEY=4,IF(AND('PT 3 Skill Tables'!F53=1,'PT 3 Skill Tables'!E53=1),1,0),IF(PTKEY=5,IF(AND('PT 4 Skill Tables'!F53=1,'PT 4 Skill Tables'!E53=1),1,0),IF(PTKEY=6,IF(AND('PT 5 Skill Tables'!F53=1,'PT 5 Skill Tables'!E53=1),1,0),IF(PTKEY=7,IF(AND('PT 6 Skill Tables'!F53=1,'PT 6 Skill Tables'!E53=1),1,0),""))))))</f>
        <v>0</v>
      </c>
      <c r="U52" s="93">
        <f>IF(PTKEY=2,IF(AND('PT 1 Skill Tables'!O53=1,'PT 1 Skill Tables'!N53=1),1,0),IF(PTKEY=3,IF(AND('PT 2 Skill Tables'!O53=1,'PT 2 Skill Tables'!N53=1),1,0),IF(PTKEY=4,IF(AND('PT 3 Skill Tables'!O53=1,'PT 3 Skill Tables'!N53=1),1,0),IF(PTKEY=5,IF(AND('PT 4 Skill Tables'!O53=1,'PT 4 Skill Tables'!N53=1),1,0),IF(PTKEY=6,IF(AND('PT 5 Skill Tables'!O53=1,'PT 5 Skill Tables'!N53=1),1,0),IF(PTKEY=7,IF(AND('PT 6 Skill Tables'!O53=1,'PT 6 Skill Tables'!N53=1),1,0),""))))))</f>
        <v>0</v>
      </c>
      <c r="W52" s="93">
        <v>49</v>
      </c>
      <c r="X52" s="93">
        <f>IF(PTKEY=2,IF(AND('PT 1 Skill Tables'!G53=1,'PT 1 Skill Tables'!E53=1),1,0),IF(PTKEY=3,IF(AND('PT 2 Skill Tables'!G53=1,'PT 2 Skill Tables'!E53=1),1,0),IF(PTKEY=4,IF(AND('PT 3 Skill Tables'!G53=1,'PT 3 Skill Tables'!E53=1),1,0),IF(PTKEY=5,IF(AND('PT 4 Skill Tables'!G53=1,'PT 4 Skill Tables'!E53=1),1,0),IF(PTKEY=6,IF(AND('PT 5 Skill Tables'!G53=1,'PT 5 Skill Tables'!E53=1),1,0),IF(PTKEY=7,IF(AND('PT 6 Skill Tables'!G53=1,'PT 6 Skill Tables'!E53=1),1,0),""))))))</f>
        <v>0</v>
      </c>
      <c r="Y52" s="93">
        <f>IF(PTKEY=2,IF(AND('PT 1 Skill Tables'!P53=1,'PT 1 Skill Tables'!N53=1),1,0),IF(PTKEY=3,IF(AND('PT 2 Skill Tables'!P53=1,'PT 2 Skill Tables'!N53=1),1,0),IF(PTKEY=4,IF(AND('PT 3 Skill Tables'!P53=1,'PT 3 Skill Tables'!N53=1),1,0),IF(PTKEY=5,IF(AND('PT 4 Skill Tables'!P53=1,'PT 4 Skill Tables'!N53=1),1,0),IF(PTKEY=6,IF(AND('PT 5 Skill Tables'!P53=1,'PT 5 Skill Tables'!N53=1),1,0),IF(PTKEY=7,IF(AND('PT 6 Skill Tables'!P53=1,'PT 6 Skill Tables'!N53=1),1,0),""))))))</f>
        <v>0</v>
      </c>
      <c r="AA52" s="135">
        <v>49</v>
      </c>
      <c r="AB52" s="93">
        <f>IF(PTKEY=2, IF(AND('PT 1 Skill Tables'!H53=1,'PT 1 Skill Tables'!E53=1), 1, 0), IF(PTKEY=3,IF(AND('PT 2 Skill Tables'!H53=1,'PT 2 Skill Tables'!E53=1), 1, 0),IF(PTKEY=4,IF(AND('PT 3 Skill Tables'!H53=1,'PT 3 Skill Tables'!E53=1), 1, 0), IF(PTKEY=5,IF(AND('PT 4 Skill Tables'!H53=1,'PT 4 Skill Tables'!E53=1), 1, 0),IF(PTKEY=6,IF(AND('PT 5 Skill Tables'!H53=1,'PT 5 Skill Tables'!E53=1),1,0),IF(PTKEY=7,IF(AND('PT 6 Skill Tables'!H53=1,'PT 6 Skill Tables'!E53=1),1,0),""))))))</f>
        <v>0</v>
      </c>
      <c r="AC52" s="93">
        <f>IF(PTKEY=2, IF(AND('PT 1 Skill Tables'!Q53=1,'PT 1 Skill Tables'!N53=1), 1, 0), IF(PTKEY=3,IF(AND('PT 2 Skill Tables'!Q53=1,'PT 2 Skill Tables'!N53=1), 1, 0),IF(PTKEY=4,IF(AND('PT 3 Skill Tables'!Q53=1,'PT 3 Skill Tables'!N53=1), 1, 0), IF(PTKEY=5,IF(AND('PT 4 Skill Tables'!Q53=1,'PT 4 Skill Tables'!N53=1), 1, 0),IF(PTKEY=6,IF(AND('PT 5 Skill Tables'!Q53=1,'PT 5 Skill Tables'!N53=1),1,0),IF(PTKEY=7,IF(AND('PT 6 Skill Tables'!Q53=1,'PT 6 Skill Tables'!N53=1),1,0),""))))))</f>
        <v>0</v>
      </c>
      <c r="AD52" s="93">
        <f>IF(PTKEY=2, IF(AND('PT 1 Skill Tables'!X53=1,'PT 1 Skill Tables'!W53=1), 1, 0), IF(PTKEY=3,IF(AND('PT 2 Skill Tables'!X53=1,'PT 2 Skill Tables'!W53=1), 1, 0),IF(PTKEY=4,IF(AND('PT 3 Skill Tables'!X53=1,'PT 3 Skill Tables'!W53=1), 1, 0),IF(PTKEY=5,IF(AND('PT 4 Skill Tables'!X53=1,'PT 4 Skill Tables'!W53=1), 1, 0),IF(PTKEY=6,IF(AND('PT 5 Skill Tables'!X53=1,'PT 5 Skill Tables'!W53=1),1,0), IF(PTKEY=7,IF(AND('PT 6 Skill Tables'!X53=1,'PT 6 Skill Tables'!W53=1),1,0),""))))))</f>
        <v>0</v>
      </c>
      <c r="AE52" s="93">
        <f>IF(PTKEY=2, IF(AND('PT 1 Skill Tables'!AE53=1,'PT 1 Skill Tables'!AD53=1), 1, 0), IF(PTKEY=3,IF(AND('PT 2 Skill Tables'!AE53=1,'PT 2 Skill Tables'!AD53=1), 1, 0),IF(PTKEY=4,IF(AND('PT 3 Skill Tables'!AE53=1,'PT 3 Skill Tables'!AD53=1), 1, 0),IF(PTKEY=5,IF(AND('PT 4 Skill Tables'!AE53=1,'PT 4 Skill Tables'!AD53=1), 1, 0),IF(PTKEY=6,IF(AND('PT 5 Skill Tables'!AE53=1,'PT 5 Skill Tables'!AD53=1),1,0),IF(PTKEY=7,IF(AND('PT 6 Skill Tables'!AE53=1,'PT 6 Skill Tables'!AD53=1),1,0),""))))))</f>
        <v>0</v>
      </c>
      <c r="AG52" s="93">
        <v>49</v>
      </c>
      <c r="AH52" s="93">
        <f>IF(PTKEY=2, IF(AND('PT 1 Skill Tables'!I53=1,'PT 1 Skill Tables'!E53=1), 1, 0), IF(PTKEY=3,IF(AND('PT 2 Skill Tables'!I53=1,'PT 2 Skill Tables'!E53=1), 1, 0), IF(PTKEY=4,IF(AND('PT 3 Skill Tables'!I53=1,'PT 3 Skill Tables'!E53=1), 1, 0),IF(PTKEY=5,IF(AND('PT 4 Skill Tables'!I53=1,'PT 4 Skill Tables'!E53=1), 1, 0),IF(PTKEY=6,IF(AND('PT 5 Skill Tables'!I53=1,'PT 5 Skill Tables'!E53=1),1,0),IF(PTKEY=7,IF(AND('PT 6 Skill Tables'!I53=1,'PT 6 Skill Tables'!E53=1),1,0),""))))))</f>
        <v>0</v>
      </c>
      <c r="AI52" s="93">
        <f>IF(PTKEY=2,IF(AND('PT 1 Skill Tables'!R53=1,'PT 1 Skill Tables'!N53=1),1,0),IF(PTKEY=3,IF(AND('PT 2 Skill Tables'!R53=1,'PT 2 Skill Tables'!N53=1),1,0),IF(PTKEY=4,IF(AND('PT 3 Skill Tables'!R53=1,'PT 3 Skill Tables'!N53=1),1,0),IF(PTKEY=5,IF(AND('PT 4 Skill Tables'!R53=1,'PT 4 Skill Tables'!N53=1),1,0),IF(PTKEY=6,IF(AND('PT 5 Skill Tables'!R53=1,'PT 5 Skill Tables'!N53=1),1,0),IF(PTKEY=7,IF(AND('PT 6 Skill Tables'!R53=1,'PT 6 Skill Tables'!N53=1),1,0),""))))))</f>
        <v>0</v>
      </c>
      <c r="AJ52" s="93">
        <f>IF(PTKEY=2,IF(AND('PT 1 Skill Tables'!Y53=1,'PT 1 Skill Tables'!W53=1),1,0),IF(PTKEY=3,IF(AND('PT 2 Skill Tables'!Y53=1,'PT 2 Skill Tables'!W53=1),1,0),IF(PTKEY=4,IF(AND('PT 3 Skill Tables'!Y53=1,'PT 3 Skill Tables'!W53=1),1,0),IF(PTKEY=5,IF(AND('PT 4 Skill Tables'!Y53=1,'PT 4 Skill Tables'!W53=1),1,0),IF(PTKEY=6,IF(AND('PT 5 Skill Tables'!Y53=1,'PT 5 Skill Tables'!W53=1),1,0),IF(PTKEY=7,IF(AND('PT 6 Skill Tables'!Y53=1,'PT 6 Skill Tables'!W53=1),1,0),""))))))</f>
        <v>0</v>
      </c>
      <c r="AK52" s="93">
        <f>IF(PTKEY=2,IF(AND('PT 1 Skill Tables'!AF53=1,'PT 1 Skill Tables'!AD53=1),1,0),IF(PTKEY=3,IF(AND('PT 2 Skill Tables'!AF53=1,'PT 2 Skill Tables'!AD53=1),1,0),IF(PTKEY=4,IF(AND('PT 3 Skill Tables'!AF53=1,'PT 3 Skill Tables'!AD53=1),1,0),IF(PTKEY=5,IF(AND('PT 4 Skill Tables'!AF53=1,'PT 4 Skill Tables'!AD53=1),1,0),IF(PTKEY=6,IF(AND('PT 5 Skill Tables'!AF53=1,'PT 5 Skill Tables'!AD53=1),1,0),IF(PTKEY=7,IF(AND('PT 6 Skill Tables'!AF53=1,'PT 6 Skill Tables'!AD53=1),1,0),""))))))</f>
        <v>0</v>
      </c>
    </row>
    <row r="53" spans="6:37">
      <c r="G53" s="158">
        <v>50</v>
      </c>
      <c r="H53" s="159">
        <f>IF(Input!C59=(VLOOKUP(Input!B59,Table2[#All],PTKEY,TRUE)), 1, 0)</f>
        <v>0</v>
      </c>
      <c r="S53" s="93">
        <v>50</v>
      </c>
      <c r="T53" s="93">
        <f>IF(PTKEY=2,IF(AND('PT 1 Skill Tables'!F54=1,'PT 1 Skill Tables'!E54=1),1,0),IF(PTKEY=3,IF(AND('PT 2 Skill Tables'!F54=1,'PT 2 Skill Tables'!E54=1),1,0),IF(PTKEY=4,IF(AND('PT 3 Skill Tables'!F54=1,'PT 3 Skill Tables'!E54=1),1,0),IF(PTKEY=5,IF(AND('PT 4 Skill Tables'!F54=1,'PT 4 Skill Tables'!E54=1),1,0),IF(PTKEY=6,IF(AND('PT 5 Skill Tables'!F54=1,'PT 5 Skill Tables'!E54=1),1,0),IF(PTKEY=7,IF(AND('PT 6 Skill Tables'!F54=1,'PT 6 Skill Tables'!E54=1),1,0),""))))))</f>
        <v>0</v>
      </c>
      <c r="U53" s="93">
        <f>IF(PTKEY=2,IF(AND('PT 1 Skill Tables'!O54=1,'PT 1 Skill Tables'!N54=1),1,0),IF(PTKEY=3,IF(AND('PT 2 Skill Tables'!O54=1,'PT 2 Skill Tables'!N54=1),1,0),IF(PTKEY=4,IF(AND('PT 3 Skill Tables'!O54=1,'PT 3 Skill Tables'!N54=1),1,0),IF(PTKEY=5,IF(AND('PT 4 Skill Tables'!O54=1,'PT 4 Skill Tables'!N54=1),1,0),IF(PTKEY=6,IF(AND('PT 5 Skill Tables'!O54=1,'PT 5 Skill Tables'!N54=1),1,0),IF(PTKEY=7,IF(AND('PT 6 Skill Tables'!O54=1,'PT 6 Skill Tables'!N54=1),1,0),""))))))</f>
        <v>0</v>
      </c>
      <c r="W53" s="93">
        <v>50</v>
      </c>
      <c r="X53" s="93">
        <f>IF(PTKEY=2,IF(AND('PT 1 Skill Tables'!G54=1,'PT 1 Skill Tables'!E54=1),1,0),IF(PTKEY=3,IF(AND('PT 2 Skill Tables'!G54=1,'PT 2 Skill Tables'!E54=1),1,0),IF(PTKEY=4,IF(AND('PT 3 Skill Tables'!G54=1,'PT 3 Skill Tables'!E54=1),1,0),IF(PTKEY=5,IF(AND('PT 4 Skill Tables'!G54=1,'PT 4 Skill Tables'!E54=1),1,0),IF(PTKEY=6,IF(AND('PT 5 Skill Tables'!G54=1,'PT 5 Skill Tables'!E54=1),1,0),IF(PTKEY=7,IF(AND('PT 6 Skill Tables'!G54=1,'PT 6 Skill Tables'!E54=1),1,0),""))))))</f>
        <v>0</v>
      </c>
      <c r="Y53" s="93">
        <f>IF(PTKEY=2,IF(AND('PT 1 Skill Tables'!P54=1,'PT 1 Skill Tables'!N54=1),1,0),IF(PTKEY=3,IF(AND('PT 2 Skill Tables'!P54=1,'PT 2 Skill Tables'!N54=1),1,0),IF(PTKEY=4,IF(AND('PT 3 Skill Tables'!P54=1,'PT 3 Skill Tables'!N54=1),1,0),IF(PTKEY=5,IF(AND('PT 4 Skill Tables'!P54=1,'PT 4 Skill Tables'!N54=1),1,0),IF(PTKEY=6,IF(AND('PT 5 Skill Tables'!P54=1,'PT 5 Skill Tables'!N54=1),1,0),IF(PTKEY=7,IF(AND('PT 6 Skill Tables'!P54=1,'PT 6 Skill Tables'!N54=1),1,0),""))))))</f>
        <v>0</v>
      </c>
      <c r="AA53" s="136">
        <v>50</v>
      </c>
      <c r="AB53" s="93">
        <f>IF(PTKEY=2, IF(AND('PT 1 Skill Tables'!H54=1,'PT 1 Skill Tables'!E54=1), 1, 0), IF(PTKEY=3,IF(AND('PT 2 Skill Tables'!H54=1,'PT 2 Skill Tables'!E54=1), 1, 0),IF(PTKEY=4,IF(AND('PT 3 Skill Tables'!H54=1,'PT 3 Skill Tables'!E54=1), 1, 0), IF(PTKEY=5,IF(AND('PT 4 Skill Tables'!H54=1,'PT 4 Skill Tables'!E54=1), 1, 0),IF(PTKEY=6,IF(AND('PT 5 Skill Tables'!H54=1,'PT 5 Skill Tables'!E54=1),1,0),IF(PTKEY=7,IF(AND('PT 6 Skill Tables'!H54=1,'PT 6 Skill Tables'!E54=1),1,0),""))))))</f>
        <v>0</v>
      </c>
      <c r="AC53" s="93">
        <f>IF(PTKEY=2, IF(AND('PT 1 Skill Tables'!Q54=1,'PT 1 Skill Tables'!N54=1), 1, 0), IF(PTKEY=3,IF(AND('PT 2 Skill Tables'!Q54=1,'PT 2 Skill Tables'!N54=1), 1, 0),IF(PTKEY=4,IF(AND('PT 3 Skill Tables'!Q54=1,'PT 3 Skill Tables'!N54=1), 1, 0), IF(PTKEY=5,IF(AND('PT 4 Skill Tables'!Q54=1,'PT 4 Skill Tables'!N54=1), 1, 0),IF(PTKEY=6,IF(AND('PT 5 Skill Tables'!Q54=1,'PT 5 Skill Tables'!N54=1),1,0),IF(PTKEY=7,IF(AND('PT 6 Skill Tables'!Q54=1,'PT 6 Skill Tables'!N54=1),1,0),""))))))</f>
        <v>0</v>
      </c>
      <c r="AD53" s="93">
        <f>IF(PTKEY=2, IF(AND('PT 1 Skill Tables'!X54=1,'PT 1 Skill Tables'!W54=1), 1, 0), IF(PTKEY=3,IF(AND('PT 2 Skill Tables'!X54=1,'PT 2 Skill Tables'!W54=1), 1, 0),IF(PTKEY=4,IF(AND('PT 3 Skill Tables'!X54=1,'PT 3 Skill Tables'!W54=1), 1, 0),IF(PTKEY=5,IF(AND('PT 4 Skill Tables'!X54=1,'PT 4 Skill Tables'!W54=1), 1, 0),IF(PTKEY=6,IF(AND('PT 5 Skill Tables'!X54=1,'PT 5 Skill Tables'!W54=1),1,0), IF(PTKEY=7,IF(AND('PT 6 Skill Tables'!X54=1,'PT 6 Skill Tables'!W54=1),1,0),""))))))</f>
        <v>0</v>
      </c>
      <c r="AE53" s="93">
        <f>IF(PTKEY=2, IF(AND('PT 1 Skill Tables'!AE54=1,'PT 1 Skill Tables'!AD54=1), 1, 0), IF(PTKEY=3,IF(AND('PT 2 Skill Tables'!AE54=1,'PT 2 Skill Tables'!AD54=1), 1, 0),IF(PTKEY=4,IF(AND('PT 3 Skill Tables'!AE54=1,'PT 3 Skill Tables'!AD54=1), 1, 0),IF(PTKEY=5,IF(AND('PT 4 Skill Tables'!AE54=1,'PT 4 Skill Tables'!AD54=1), 1, 0),IF(PTKEY=6,IF(AND('PT 5 Skill Tables'!AE54=1,'PT 5 Skill Tables'!AD54=1),1,0),IF(PTKEY=7,IF(AND('PT 6 Skill Tables'!AE54=1,'PT 6 Skill Tables'!AD54=1),1,0),""))))))</f>
        <v>0</v>
      </c>
      <c r="AG53" s="93">
        <v>50</v>
      </c>
      <c r="AH53" s="93">
        <f>IF(PTKEY=2, IF(AND('PT 1 Skill Tables'!I54=1,'PT 1 Skill Tables'!E54=1), 1, 0), IF(PTKEY=3,IF(AND('PT 2 Skill Tables'!I54=1,'PT 2 Skill Tables'!E54=1), 1, 0), IF(PTKEY=4,IF(AND('PT 3 Skill Tables'!I54=1,'PT 3 Skill Tables'!E54=1), 1, 0),IF(PTKEY=5,IF(AND('PT 4 Skill Tables'!I54=1,'PT 4 Skill Tables'!E54=1), 1, 0),IF(PTKEY=6,IF(AND('PT 5 Skill Tables'!I54=1,'PT 5 Skill Tables'!E54=1),1,0),IF(PTKEY=7,IF(AND('PT 6 Skill Tables'!I54=1,'PT 6 Skill Tables'!E54=1),1,0),""))))))</f>
        <v>0</v>
      </c>
      <c r="AI53" s="93">
        <f>IF(PTKEY=2,IF(AND('PT 1 Skill Tables'!R54=1,'PT 1 Skill Tables'!N54=1),1,0),IF(PTKEY=3,IF(AND('PT 2 Skill Tables'!R54=1,'PT 2 Skill Tables'!N54=1),1,0),IF(PTKEY=4,IF(AND('PT 3 Skill Tables'!R54=1,'PT 3 Skill Tables'!N54=1),1,0),IF(PTKEY=5,IF(AND('PT 4 Skill Tables'!R54=1,'PT 4 Skill Tables'!N54=1),1,0),IF(PTKEY=6,IF(AND('PT 5 Skill Tables'!R54=1,'PT 5 Skill Tables'!N54=1),1,0),IF(PTKEY=7,IF(AND('PT 6 Skill Tables'!R54=1,'PT 6 Skill Tables'!N54=1),1,0),""))))))</f>
        <v>0</v>
      </c>
      <c r="AJ53" s="93">
        <f>IF(PTKEY=2,IF(AND('PT 1 Skill Tables'!Y54=1,'PT 1 Skill Tables'!W54=1),1,0),IF(PTKEY=3,IF(AND('PT 2 Skill Tables'!Y54=1,'PT 2 Skill Tables'!W54=1),1,0),IF(PTKEY=4,IF(AND('PT 3 Skill Tables'!Y54=1,'PT 3 Skill Tables'!W54=1),1,0),IF(PTKEY=5,IF(AND('PT 4 Skill Tables'!Y54=1,'PT 4 Skill Tables'!W54=1),1,0),IF(PTKEY=6,IF(AND('PT 5 Skill Tables'!Y54=1,'PT 5 Skill Tables'!W54=1),1,0),IF(PTKEY=7,IF(AND('PT 6 Skill Tables'!Y54=1,'PT 6 Skill Tables'!W54=1),1,0),""))))))</f>
        <v>0</v>
      </c>
      <c r="AK53" s="93">
        <f>IF(PTKEY=2,IF(AND('PT 1 Skill Tables'!AF54=1,'PT 1 Skill Tables'!AD54=1),1,0),IF(PTKEY=3,IF(AND('PT 2 Skill Tables'!AF54=1,'PT 2 Skill Tables'!AD54=1),1,0),IF(PTKEY=4,IF(AND('PT 3 Skill Tables'!AF54=1,'PT 3 Skill Tables'!AD54=1),1,0),IF(PTKEY=5,IF(AND('PT 4 Skill Tables'!AF54=1,'PT 4 Skill Tables'!AD54=1),1,0),IF(PTKEY=6,IF(AND('PT 5 Skill Tables'!AF54=1,'PT 5 Skill Tables'!AD54=1),1,0),IF(PTKEY=7,IF(AND('PT 6 Skill Tables'!AF54=1,'PT 6 Skill Tables'!AD54=1),1,0),""))))))</f>
        <v>0</v>
      </c>
    </row>
    <row r="54" spans="6:37">
      <c r="G54" s="160">
        <v>51</v>
      </c>
      <c r="H54" s="159">
        <f>IF(Input!C60=(VLOOKUP(Input!B60,Table2[#All],PTKEY,TRUE)), 1, 0)</f>
        <v>0</v>
      </c>
      <c r="S54" s="93">
        <v>51</v>
      </c>
      <c r="T54" s="93">
        <f>IF(PTKEY=2,IF(AND('PT 1 Skill Tables'!F55=1,'PT 1 Skill Tables'!E55=1),1,0),IF(PTKEY=3,IF(AND('PT 2 Skill Tables'!F55=1,'PT 2 Skill Tables'!E55=1),1,0),IF(PTKEY=4,IF(AND('PT 3 Skill Tables'!F55=1,'PT 3 Skill Tables'!E55=1),1,0),IF(PTKEY=5,IF(AND('PT 4 Skill Tables'!F55=1,'PT 4 Skill Tables'!E55=1),1,0),IF(PTKEY=6,IF(AND('PT 5 Skill Tables'!F55=1,'PT 5 Skill Tables'!E55=1),1,0),IF(PTKEY=7,IF(AND('PT 6 Skill Tables'!F55=1,'PT 6 Skill Tables'!E55=1),1,0),""))))))</f>
        <v>0</v>
      </c>
      <c r="U54" s="93">
        <f>IF(PTKEY=2,IF(AND('PT 1 Skill Tables'!O55=1,'PT 1 Skill Tables'!N55=1),1,0),IF(PTKEY=3,IF(AND('PT 2 Skill Tables'!O55=1,'PT 2 Skill Tables'!N55=1),1,0),IF(PTKEY=4,IF(AND('PT 3 Skill Tables'!O55=1,'PT 3 Skill Tables'!N55=1),1,0),IF(PTKEY=5,IF(AND('PT 4 Skill Tables'!O55=1,'PT 4 Skill Tables'!N55=1),1,0),IF(PTKEY=6,IF(AND('PT 5 Skill Tables'!O55=1,'PT 5 Skill Tables'!N55=1),1,0),IF(PTKEY=7,IF(AND('PT 6 Skill Tables'!O55=1,'PT 6 Skill Tables'!N55=1),1,0),""))))))</f>
        <v>0</v>
      </c>
      <c r="W54" s="93">
        <v>51</v>
      </c>
      <c r="X54" s="93">
        <f>IF(PTKEY=2,IF(AND('PT 1 Skill Tables'!G55=1,'PT 1 Skill Tables'!E55=1),1,0),IF(PTKEY=3,IF(AND('PT 2 Skill Tables'!G55=1,'PT 2 Skill Tables'!E55=1),1,0),IF(PTKEY=4,IF(AND('PT 3 Skill Tables'!G55=1,'PT 3 Skill Tables'!E55=1),1,0),IF(PTKEY=5,IF(AND('PT 4 Skill Tables'!G55=1,'PT 4 Skill Tables'!E55=1),1,0),IF(PTKEY=6,IF(AND('PT 5 Skill Tables'!G55=1,'PT 5 Skill Tables'!E55=1),1,0),IF(PTKEY=7,IF(AND('PT 6 Skill Tables'!G55=1,'PT 6 Skill Tables'!E55=1),1,0),""))))))</f>
        <v>0</v>
      </c>
      <c r="Y54" s="93">
        <f>IF(PTKEY=2,IF(AND('PT 1 Skill Tables'!P55=1,'PT 1 Skill Tables'!N55=1),1,0),IF(PTKEY=3,IF(AND('PT 2 Skill Tables'!P55=1,'PT 2 Skill Tables'!N55=1),1,0),IF(PTKEY=4,IF(AND('PT 3 Skill Tables'!P55=1,'PT 3 Skill Tables'!N55=1),1,0),IF(PTKEY=5,IF(AND('PT 4 Skill Tables'!P55=1,'PT 4 Skill Tables'!N55=1),1,0),IF(PTKEY=6,IF(AND('PT 5 Skill Tables'!P55=1,'PT 5 Skill Tables'!N55=1),1,0),IF(PTKEY=7,IF(AND('PT 6 Skill Tables'!P55=1,'PT 6 Skill Tables'!N55=1),1,0),""))))))</f>
        <v>0</v>
      </c>
      <c r="AA54" s="135">
        <v>51</v>
      </c>
      <c r="AB54" s="93">
        <f>IF(PTKEY=2, IF(AND('PT 1 Skill Tables'!H55=1,'PT 1 Skill Tables'!E55=1), 1, 0), IF(PTKEY=3,IF(AND('PT 2 Skill Tables'!H55=1,'PT 2 Skill Tables'!E55=1), 1, 0),IF(PTKEY=4,IF(AND('PT 3 Skill Tables'!H55=1,'PT 3 Skill Tables'!E55=1), 1, 0), IF(PTKEY=5,IF(AND('PT 4 Skill Tables'!H55=1,'PT 4 Skill Tables'!E55=1), 1, 0),IF(PTKEY=6,IF(AND('PT 5 Skill Tables'!H55=1,'PT 5 Skill Tables'!E55=1),1,0),IF(PTKEY=7,IF(AND('PT 6 Skill Tables'!H55=1,'PT 6 Skill Tables'!E55=1),1,0),""))))))</f>
        <v>0</v>
      </c>
      <c r="AC54" s="93">
        <f>IF(PTKEY=2, IF(AND('PT 1 Skill Tables'!Q55=1,'PT 1 Skill Tables'!N55=1), 1, 0), IF(PTKEY=3,IF(AND('PT 2 Skill Tables'!Q55=1,'PT 2 Skill Tables'!N55=1), 1, 0),IF(PTKEY=4,IF(AND('PT 3 Skill Tables'!Q55=1,'PT 3 Skill Tables'!N55=1), 1, 0), IF(PTKEY=5,IF(AND('PT 4 Skill Tables'!Q55=1,'PT 4 Skill Tables'!N55=1), 1, 0),IF(PTKEY=6,IF(AND('PT 5 Skill Tables'!Q55=1,'PT 5 Skill Tables'!N55=1),1,0),IF(PTKEY=7,IF(AND('PT 6 Skill Tables'!Q55=1,'PT 6 Skill Tables'!N55=1),1,0),""))))))</f>
        <v>0</v>
      </c>
      <c r="AD54" s="93">
        <f>IF(PTKEY=2, IF(AND('PT 1 Skill Tables'!X55=1,'PT 1 Skill Tables'!W55=1), 1, 0), IF(PTKEY=3,IF(AND('PT 2 Skill Tables'!X55=1,'PT 2 Skill Tables'!W55=1), 1, 0),IF(PTKEY=4,IF(AND('PT 3 Skill Tables'!X55=1,'PT 3 Skill Tables'!W55=1), 1, 0),IF(PTKEY=5,IF(AND('PT 4 Skill Tables'!X55=1,'PT 4 Skill Tables'!W55=1), 1, 0),IF(PTKEY=6,IF(AND('PT 5 Skill Tables'!X55=1,'PT 5 Skill Tables'!W55=1),1,0), IF(PTKEY=7,IF(AND('PT 6 Skill Tables'!X55=1,'PT 6 Skill Tables'!W55=1),1,0),""))))))</f>
        <v>0</v>
      </c>
      <c r="AE54" s="93">
        <f>IF(PTKEY=2, IF(AND('PT 1 Skill Tables'!AE55=1,'PT 1 Skill Tables'!AD55=1), 1, 0), IF(PTKEY=3,IF(AND('PT 2 Skill Tables'!AE55=1,'PT 2 Skill Tables'!AD55=1), 1, 0),IF(PTKEY=4,IF(AND('PT 3 Skill Tables'!AE55=1,'PT 3 Skill Tables'!AD55=1), 1, 0),IF(PTKEY=5,IF(AND('PT 4 Skill Tables'!AE55=1,'PT 4 Skill Tables'!AD55=1), 1, 0),IF(PTKEY=6,IF(AND('PT 5 Skill Tables'!AE55=1,'PT 5 Skill Tables'!AD55=1),1,0),IF(PTKEY=7,IF(AND('PT 6 Skill Tables'!AE55=1,'PT 6 Skill Tables'!AD55=1),1,0),""))))))</f>
        <v>0</v>
      </c>
      <c r="AG54" s="93">
        <v>51</v>
      </c>
      <c r="AH54" s="93">
        <f>IF(PTKEY=2, IF(AND('PT 1 Skill Tables'!I55=1,'PT 1 Skill Tables'!E55=1), 1, 0), IF(PTKEY=3,IF(AND('PT 2 Skill Tables'!I55=1,'PT 2 Skill Tables'!E55=1), 1, 0), IF(PTKEY=4,IF(AND('PT 3 Skill Tables'!I55=1,'PT 3 Skill Tables'!E55=1), 1, 0),IF(PTKEY=5,IF(AND('PT 4 Skill Tables'!I55=1,'PT 4 Skill Tables'!E55=1), 1, 0),IF(PTKEY=6,IF(AND('PT 5 Skill Tables'!I55=1,'PT 5 Skill Tables'!E55=1),1,0),IF(PTKEY=7,IF(AND('PT 6 Skill Tables'!I55=1,'PT 6 Skill Tables'!E55=1),1,0),""))))))</f>
        <v>0</v>
      </c>
      <c r="AI54" s="93">
        <f>IF(PTKEY=2,IF(AND('PT 1 Skill Tables'!R55=1,'PT 1 Skill Tables'!N55=1),1,0),IF(PTKEY=3,IF(AND('PT 2 Skill Tables'!R55=1,'PT 2 Skill Tables'!N55=1),1,0),IF(PTKEY=4,IF(AND('PT 3 Skill Tables'!R55=1,'PT 3 Skill Tables'!N55=1),1,0),IF(PTKEY=5,IF(AND('PT 4 Skill Tables'!R55=1,'PT 4 Skill Tables'!N55=1),1,0),IF(PTKEY=6,IF(AND('PT 5 Skill Tables'!R55=1,'PT 5 Skill Tables'!N55=1),1,0),IF(PTKEY=7,IF(AND('PT 6 Skill Tables'!R55=1,'PT 6 Skill Tables'!N55=1),1,0),""))))))</f>
        <v>0</v>
      </c>
      <c r="AJ54" s="93">
        <f>IF(PTKEY=2,IF(AND('PT 1 Skill Tables'!Y55=1,'PT 1 Skill Tables'!W55=1),1,0),IF(PTKEY=3,IF(AND('PT 2 Skill Tables'!Y55=1,'PT 2 Skill Tables'!W55=1),1,0),IF(PTKEY=4,IF(AND('PT 3 Skill Tables'!Y55=1,'PT 3 Skill Tables'!W55=1),1,0),IF(PTKEY=5,IF(AND('PT 4 Skill Tables'!Y55=1,'PT 4 Skill Tables'!W55=1),1,0),IF(PTKEY=6,IF(AND('PT 5 Skill Tables'!Y55=1,'PT 5 Skill Tables'!W55=1),1,0),IF(PTKEY=7,IF(AND('PT 6 Skill Tables'!Y55=1,'PT 6 Skill Tables'!W55=1),1,0),""))))))</f>
        <v>0</v>
      </c>
      <c r="AK54" s="93">
        <f>IF(PTKEY=2,IF(AND('PT 1 Skill Tables'!AF55=1,'PT 1 Skill Tables'!AD55=1),1,0),IF(PTKEY=3,IF(AND('PT 2 Skill Tables'!AF55=1,'PT 2 Skill Tables'!AD55=1),1,0),IF(PTKEY=4,IF(AND('PT 3 Skill Tables'!AF55=1,'PT 3 Skill Tables'!AD55=1),1,0),IF(PTKEY=5,IF(AND('PT 4 Skill Tables'!AF55=1,'PT 4 Skill Tables'!AD55=1),1,0),IF(PTKEY=6,IF(AND('PT 5 Skill Tables'!AF55=1,'PT 5 Skill Tables'!AD55=1),1,0),IF(PTKEY=7,IF(AND('PT 6 Skill Tables'!AF55=1,'PT 6 Skill Tables'!AD55=1),1,0),""))))))</f>
        <v>0</v>
      </c>
    </row>
    <row r="55" spans="6:37" ht="15.75" thickBot="1">
      <c r="G55" s="161">
        <v>52</v>
      </c>
      <c r="H55" s="162">
        <f>IF(Input!C61=(VLOOKUP(Input!B61,Table2[#All],PTKEY,TRUE)), 1, 0)</f>
        <v>0</v>
      </c>
      <c r="S55" s="93">
        <v>52</v>
      </c>
      <c r="T55" s="93">
        <f>IF(PTKEY=2,IF(AND('PT 1 Skill Tables'!F56=1,'PT 1 Skill Tables'!E56=1),1,0),IF(PTKEY=3,IF(AND('PT 2 Skill Tables'!F56=1,'PT 2 Skill Tables'!E56=1),1,0),IF(PTKEY=4,IF(AND('PT 3 Skill Tables'!F56=1,'PT 3 Skill Tables'!E56=1),1,0),IF(PTKEY=5,IF(AND('PT 4 Skill Tables'!F56=1,'PT 4 Skill Tables'!E56=1),1,0),IF(PTKEY=6,IF(AND('PT 5 Skill Tables'!F56=1,'PT 5 Skill Tables'!E56=1),1,0),IF(PTKEY=7,IF(AND('PT 6 Skill Tables'!F56=1,'PT 6 Skill Tables'!E56=1),1,0),""))))))</f>
        <v>0</v>
      </c>
      <c r="U55" s="93">
        <f>IF(PTKEY=2,IF(AND('PT 1 Skill Tables'!O56=1,'PT 1 Skill Tables'!N56=1),1,0),IF(PTKEY=3,IF(AND('PT 2 Skill Tables'!O56=1,'PT 2 Skill Tables'!N56=1),1,0),IF(PTKEY=4,IF(AND('PT 3 Skill Tables'!O56=1,'PT 3 Skill Tables'!N56=1),1,0),IF(PTKEY=5,IF(AND('PT 4 Skill Tables'!O56=1,'PT 4 Skill Tables'!N56=1),1,0),IF(PTKEY=6,IF(AND('PT 5 Skill Tables'!O56=1,'PT 5 Skill Tables'!N56=1),1,0),IF(PTKEY=7,IF(AND('PT 6 Skill Tables'!O56=1,'PT 6 Skill Tables'!N56=1),1,0),""))))))</f>
        <v>0</v>
      </c>
      <c r="W55" s="93">
        <v>52</v>
      </c>
      <c r="X55" s="93">
        <f>IF(PTKEY=2,IF(AND('PT 1 Skill Tables'!G56=1,'PT 1 Skill Tables'!E56=1),1,0),IF(PTKEY=3,IF(AND('PT 2 Skill Tables'!G56=1,'PT 2 Skill Tables'!E56=1),1,0),IF(PTKEY=4,IF(AND('PT 3 Skill Tables'!G56=1,'PT 3 Skill Tables'!E56=1),1,0),IF(PTKEY=5,IF(AND('PT 4 Skill Tables'!G56=1,'PT 4 Skill Tables'!E56=1),1,0),IF(PTKEY=6,IF(AND('PT 5 Skill Tables'!G56=1,'PT 5 Skill Tables'!E56=1),1,0),IF(PTKEY=7,IF(AND('PT 6 Skill Tables'!G56=1,'PT 6 Skill Tables'!E56=1),1,0),""))))))</f>
        <v>0</v>
      </c>
      <c r="Y55" s="93">
        <f>IF(PTKEY=2,IF(AND('PT 1 Skill Tables'!P56=1,'PT 1 Skill Tables'!N56=1),1,0),IF(PTKEY=3,IF(AND('PT 2 Skill Tables'!P56=1,'PT 2 Skill Tables'!N56=1),1,0),IF(PTKEY=4,IF(AND('PT 3 Skill Tables'!P56=1,'PT 3 Skill Tables'!N56=1),1,0),IF(PTKEY=5,IF(AND('PT 4 Skill Tables'!P56=1,'PT 4 Skill Tables'!N56=1),1,0),IF(PTKEY=6,IF(AND('PT 5 Skill Tables'!P56=1,'PT 5 Skill Tables'!N56=1),1,0),IF(PTKEY=7,IF(AND('PT 6 Skill Tables'!P56=1,'PT 6 Skill Tables'!N56=1),1,0),""))))))</f>
        <v>0</v>
      </c>
      <c r="AA55" s="136">
        <v>52</v>
      </c>
      <c r="AB55" s="93">
        <f>IF(PTKEY=2, IF(AND('PT 1 Skill Tables'!H56=1,'PT 1 Skill Tables'!E56=1), 1, 0), IF(PTKEY=3,IF(AND('PT 2 Skill Tables'!H56=1,'PT 2 Skill Tables'!E56=1), 1, 0),IF(PTKEY=4,IF(AND('PT 3 Skill Tables'!H56=1,'PT 3 Skill Tables'!E56=1), 1, 0), IF(PTKEY=5,IF(AND('PT 4 Skill Tables'!H56=1,'PT 4 Skill Tables'!E56=1), 1, 0),IF(PTKEY=6,IF(AND('PT 5 Skill Tables'!H56=1,'PT 5 Skill Tables'!E56=1),1,0),IF(PTKEY=7,IF(AND('PT 6 Skill Tables'!H56=1,'PT 6 Skill Tables'!E56=1),1,0),""))))))</f>
        <v>0</v>
      </c>
      <c r="AC55" s="93">
        <f>IF(PTKEY=2, IF(AND('PT 1 Skill Tables'!Q56=1,'PT 1 Skill Tables'!N56=1), 1, 0), IF(PTKEY=3,IF(AND('PT 2 Skill Tables'!Q56=1,'PT 2 Skill Tables'!N56=1), 1, 0),IF(PTKEY=4,IF(AND('PT 3 Skill Tables'!Q56=1,'PT 3 Skill Tables'!N56=1), 1, 0), IF(PTKEY=5,IF(AND('PT 4 Skill Tables'!Q56=1,'PT 4 Skill Tables'!N56=1), 1, 0),IF(PTKEY=6,IF(AND('PT 5 Skill Tables'!Q56=1,'PT 5 Skill Tables'!N56=1),1,0),IF(PTKEY=7,IF(AND('PT 6 Skill Tables'!Q56=1,'PT 6 Skill Tables'!N56=1),1,0),""))))))</f>
        <v>0</v>
      </c>
      <c r="AD55" s="93">
        <f>IF(PTKEY=2, IF(AND('PT 1 Skill Tables'!X56=1,'PT 1 Skill Tables'!W56=1), 1, 0), IF(PTKEY=3,IF(AND('PT 2 Skill Tables'!X56=1,'PT 2 Skill Tables'!W56=1), 1, 0),IF(PTKEY=4,IF(AND('PT 3 Skill Tables'!X56=1,'PT 3 Skill Tables'!W56=1), 1, 0),IF(PTKEY=5,IF(AND('PT 4 Skill Tables'!X56=1,'PT 4 Skill Tables'!W56=1), 1, 0),IF(PTKEY=6,IF(AND('PT 5 Skill Tables'!X56=1,'PT 5 Skill Tables'!W56=1),1,0), IF(PTKEY=7,IF(AND('PT 6 Skill Tables'!X56=1,'PT 6 Skill Tables'!W56=1),1,0),""))))))</f>
        <v>0</v>
      </c>
      <c r="AE55" s="93">
        <f>IF(PTKEY=2, IF(AND('PT 1 Skill Tables'!AE56=1,'PT 1 Skill Tables'!AD56=1), 1, 0), IF(PTKEY=3,IF(AND('PT 2 Skill Tables'!AE56=1,'PT 2 Skill Tables'!AD56=1), 1, 0),IF(PTKEY=4,IF(AND('PT 3 Skill Tables'!AE56=1,'PT 3 Skill Tables'!AD56=1), 1, 0),IF(PTKEY=5,IF(AND('PT 4 Skill Tables'!AE56=1,'PT 4 Skill Tables'!AD56=1), 1, 0),IF(PTKEY=6,IF(AND('PT 5 Skill Tables'!AE56=1,'PT 5 Skill Tables'!AD56=1),1,0),IF(PTKEY=7,IF(AND('PT 6 Skill Tables'!AE56=1,'PT 6 Skill Tables'!AD56=1),1,0),""))))))</f>
        <v>0</v>
      </c>
      <c r="AG55" s="93">
        <v>52</v>
      </c>
      <c r="AH55" s="93">
        <f>IF(PTKEY=2, IF(AND('PT 1 Skill Tables'!I56=1,'PT 1 Skill Tables'!E56=1), 1, 0), IF(PTKEY=3,IF(AND('PT 2 Skill Tables'!I56=1,'PT 2 Skill Tables'!E56=1), 1, 0), IF(PTKEY=4,IF(AND('PT 3 Skill Tables'!I56=1,'PT 3 Skill Tables'!E56=1), 1, 0),IF(PTKEY=5,IF(AND('PT 4 Skill Tables'!I56=1,'PT 4 Skill Tables'!E56=1), 1, 0),IF(PTKEY=6,IF(AND('PT 5 Skill Tables'!I56=1,'PT 5 Skill Tables'!E56=1),1,0),IF(PTKEY=7,IF(AND('PT 6 Skill Tables'!I56=1,'PT 6 Skill Tables'!E56=1),1,0),""))))))</f>
        <v>0</v>
      </c>
      <c r="AI55" s="93">
        <f>IF(PTKEY=2,IF(AND('PT 1 Skill Tables'!R56=1,'PT 1 Skill Tables'!N56=1),1,0),IF(PTKEY=3,IF(AND('PT 2 Skill Tables'!R56=1,'PT 2 Skill Tables'!N56=1),1,0),IF(PTKEY=4,IF(AND('PT 3 Skill Tables'!R56=1,'PT 3 Skill Tables'!N56=1),1,0),IF(PTKEY=5,IF(AND('PT 4 Skill Tables'!R56=1,'PT 4 Skill Tables'!N56=1),1,0),IF(PTKEY=6,IF(AND('PT 5 Skill Tables'!R56=1,'PT 5 Skill Tables'!N56=1),1,0),IF(PTKEY=7,IF(AND('PT 6 Skill Tables'!R56=1,'PT 6 Skill Tables'!N56=1),1,0),""))))))</f>
        <v>0</v>
      </c>
      <c r="AJ55" s="93">
        <f>IF(PTKEY=2,IF(AND('PT 1 Skill Tables'!Y56=1,'PT 1 Skill Tables'!W56=1),1,0),IF(PTKEY=3,IF(AND('PT 2 Skill Tables'!Y56=1,'PT 2 Skill Tables'!W56=1),1,0),IF(PTKEY=4,IF(AND('PT 3 Skill Tables'!Y56=1,'PT 3 Skill Tables'!W56=1),1,0),IF(PTKEY=5,IF(AND('PT 4 Skill Tables'!Y56=1,'PT 4 Skill Tables'!W56=1),1,0),IF(PTKEY=6,IF(AND('PT 5 Skill Tables'!Y56=1,'PT 5 Skill Tables'!W56=1),1,0),IF(PTKEY=7,IF(AND('PT 6 Skill Tables'!Y56=1,'PT 6 Skill Tables'!W56=1),1,0),""))))))</f>
        <v>0</v>
      </c>
      <c r="AK55" s="93">
        <f>IF(PTKEY=2,IF(AND('PT 1 Skill Tables'!AF56=1,'PT 1 Skill Tables'!AD56=1),1,0),IF(PTKEY=3,IF(AND('PT 2 Skill Tables'!AF56=1,'PT 2 Skill Tables'!AD56=1),1,0),IF(PTKEY=4,IF(AND('PT 3 Skill Tables'!AF56=1,'PT 3 Skill Tables'!AD56=1),1,0),IF(PTKEY=5,IF(AND('PT 4 Skill Tables'!AF56=1,'PT 4 Skill Tables'!AD56=1),1,0),IF(PTKEY=6,IF(AND('PT 5 Skill Tables'!AF56=1,'PT 5 Skill Tables'!AD56=1),1,0),IF(PTKEY=7,IF(AND('PT 6 Skill Tables'!AF56=1,'PT 6 Skill Tables'!AD56=1),1,0),""))))))</f>
        <v>0</v>
      </c>
    </row>
    <row r="56" spans="6:37" ht="15.75" thickBot="1"/>
    <row r="57" spans="6:37" ht="15.75" thickBot="1">
      <c r="G57" s="165" t="s">
        <v>18</v>
      </c>
      <c r="H57" s="139">
        <f>SUM(H4:H55)</f>
        <v>0</v>
      </c>
      <c r="K57" s="139">
        <f>SUM(K4:K47)</f>
        <v>0</v>
      </c>
      <c r="N57" s="139">
        <f>SUM(N4:N23)</f>
        <v>0</v>
      </c>
      <c r="Q57" s="139">
        <f>SUM(Q4:Q41)</f>
        <v>0</v>
      </c>
      <c r="S57" s="93" t="s">
        <v>139</v>
      </c>
      <c r="U57" s="139">
        <f>SUM(T4:U55)</f>
        <v>0</v>
      </c>
      <c r="W57" s="93" t="s">
        <v>140</v>
      </c>
      <c r="Y57" s="139">
        <f>SUM(Table4345[[Reading]:[Writing]])</f>
        <v>0</v>
      </c>
      <c r="AA57" s="93" t="s">
        <v>143</v>
      </c>
      <c r="AB57" s="139">
        <f>SUM(Table46[[Reading]:[Math 2]])</f>
        <v>0</v>
      </c>
      <c r="AG57" s="93" t="s">
        <v>144</v>
      </c>
      <c r="AH57" s="139">
        <f>SUM(Table47[[Reading]:[Math 2]])</f>
        <v>0</v>
      </c>
    </row>
    <row r="58" spans="6:37">
      <c r="H58" s="93" t="s">
        <v>4</v>
      </c>
      <c r="K58" s="93" t="s">
        <v>5</v>
      </c>
      <c r="N58" s="93" t="s">
        <v>30</v>
      </c>
      <c r="Q58" s="93" t="s">
        <v>31</v>
      </c>
    </row>
    <row r="59" spans="6:37" ht="58.5" customHeight="1">
      <c r="F59" s="92" t="s">
        <v>134</v>
      </c>
      <c r="G59" s="93">
        <f>IF(PTKEY=2,VLOOKUP(ReadingTestRawScore,Table41[],3,),IF(PTKEY=3,VLOOKUP(ReadingTestRawScore,Table4141[],3,),IF(PTKEY=4,VLOOKUP(ReadingTestRawScore,Table414143[],3,),IF(PTKEY=5,VLOOKUP(ReadingTestRawScore,Table41414349[],3,),IF(PTKEY=6,VLOOKUP(ReadingTestRawScore,Table4150[#All],3),IF(PTKEY=7,VLOOKUP(ReadingTestRawScore,PT6ScaledScoreTable,3),""))))))</f>
        <v>10</v>
      </c>
      <c r="M59" s="92" t="s">
        <v>138</v>
      </c>
      <c r="N59" s="93">
        <f>N57+Q57</f>
        <v>0</v>
      </c>
    </row>
    <row r="60" spans="6:37" ht="20.25" customHeight="1">
      <c r="F60" s="92" t="s">
        <v>136</v>
      </c>
      <c r="G60" s="93">
        <f>IF(PTKEY=2,VLOOKUP(WritingTestRawScore,Table41[],4,),IF(PTKEY=3,VLOOKUP(WritingTestRawScore,Table4141[],4,),IF(PTKEY=4,VLOOKUP(WritingTestRawScore,Table414143[],4,),IF(PTKEY=5,VLOOKUP(WritingTestRawScore,Table41414349[],4,),IF(PTKEY=6,VLOOKUP(WritingTestRawScore,Table4150[#All],4,),IF(PTKEY=7,VLOOKUP(WritingTestRawScore,PT6ScaledScoreTable,4,),""))))))</f>
        <v>10</v>
      </c>
    </row>
    <row r="61" spans="6:37" ht="36" customHeight="1">
      <c r="F61" s="92" t="s">
        <v>137</v>
      </c>
      <c r="G61" s="93">
        <f>SUM(G59:G60)</f>
        <v>20</v>
      </c>
    </row>
    <row r="62" spans="6:37">
      <c r="F62" s="92"/>
    </row>
  </sheetData>
  <mergeCells count="4">
    <mergeCell ref="G3:H3"/>
    <mergeCell ref="J3:K3"/>
    <mergeCell ref="M3:N3"/>
    <mergeCell ref="P3:Q3"/>
  </mergeCells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B2:AF55"/>
  <sheetViews>
    <sheetView topLeftCell="K1" zoomScale="85" zoomScaleNormal="85" workbookViewId="0">
      <selection activeCell="R22" sqref="R22"/>
    </sheetView>
  </sheetViews>
  <sheetFormatPr defaultRowHeight="15"/>
  <cols>
    <col min="2" max="2" width="10.7109375" customWidth="1"/>
    <col min="3" max="3" width="9.85546875" customWidth="1"/>
    <col min="7" max="7" width="6.28515625" customWidth="1"/>
    <col min="8" max="8" width="10.7109375" customWidth="1"/>
    <col min="13" max="13" width="6.28515625" customWidth="1"/>
    <col min="14" max="14" width="10.5703125" customWidth="1"/>
    <col min="19" max="19" width="6.28515625" customWidth="1"/>
    <col min="20" max="20" width="9.5703125" bestFit="1" customWidth="1"/>
    <col min="23" max="25" width="9.140625" style="75"/>
  </cols>
  <sheetData>
    <row r="2" spans="2:32" ht="15.75" thickBot="1">
      <c r="B2" t="s">
        <v>4</v>
      </c>
      <c r="J2" t="s">
        <v>5</v>
      </c>
      <c r="R2" t="s">
        <v>30</v>
      </c>
      <c r="Z2" t="s">
        <v>31</v>
      </c>
    </row>
    <row r="3" spans="2:32" ht="15.75" thickBot="1">
      <c r="B3" s="20" t="s">
        <v>19</v>
      </c>
      <c r="C3" s="20" t="s">
        <v>8</v>
      </c>
      <c r="D3" s="20" t="s">
        <v>9</v>
      </c>
      <c r="E3" s="20" t="s">
        <v>10</v>
      </c>
      <c r="F3" s="20" t="s">
        <v>11</v>
      </c>
      <c r="G3" s="20" t="s">
        <v>213</v>
      </c>
      <c r="H3" s="20" t="s">
        <v>214</v>
      </c>
      <c r="I3" s="21"/>
      <c r="J3" s="20" t="s">
        <v>19</v>
      </c>
      <c r="K3" s="20" t="s">
        <v>8</v>
      </c>
      <c r="L3" s="20" t="s">
        <v>9</v>
      </c>
      <c r="M3" s="20" t="s">
        <v>10</v>
      </c>
      <c r="N3" s="20" t="s">
        <v>11</v>
      </c>
      <c r="O3" s="20" t="s">
        <v>213</v>
      </c>
      <c r="P3" s="20" t="s">
        <v>214</v>
      </c>
      <c r="Q3" s="21"/>
      <c r="R3" s="22" t="s">
        <v>19</v>
      </c>
      <c r="S3" s="23" t="s">
        <v>8</v>
      </c>
      <c r="T3" s="23" t="s">
        <v>9</v>
      </c>
      <c r="U3" s="23" t="s">
        <v>10</v>
      </c>
      <c r="V3" s="24" t="s">
        <v>11</v>
      </c>
      <c r="W3" s="282" t="s">
        <v>213</v>
      </c>
      <c r="X3" s="282" t="s">
        <v>214</v>
      </c>
      <c r="Y3" s="236"/>
      <c r="Z3" s="25" t="s">
        <v>19</v>
      </c>
      <c r="AA3" s="25" t="s">
        <v>8</v>
      </c>
      <c r="AB3" s="25" t="s">
        <v>9</v>
      </c>
      <c r="AC3" s="25" t="s">
        <v>10</v>
      </c>
      <c r="AD3" s="25" t="s">
        <v>11</v>
      </c>
      <c r="AE3" s="25" t="s">
        <v>213</v>
      </c>
      <c r="AF3" s="25" t="s">
        <v>214</v>
      </c>
    </row>
    <row r="4" spans="2:32">
      <c r="B4" s="26">
        <v>1</v>
      </c>
      <c r="C4" s="13" t="s">
        <v>0</v>
      </c>
      <c r="D4" s="13" t="s">
        <v>2</v>
      </c>
      <c r="E4" s="13" t="s">
        <v>0</v>
      </c>
      <c r="F4" s="13" t="s">
        <v>1</v>
      </c>
      <c r="G4" s="91" t="s">
        <v>3</v>
      </c>
      <c r="H4" s="91" t="s">
        <v>1</v>
      </c>
      <c r="J4" s="28">
        <v>1</v>
      </c>
      <c r="K4" s="14" t="s">
        <v>3</v>
      </c>
      <c r="L4" s="14" t="s">
        <v>0</v>
      </c>
      <c r="M4" s="14" t="s">
        <v>2</v>
      </c>
      <c r="N4" s="14" t="s">
        <v>0</v>
      </c>
      <c r="O4" s="281" t="s">
        <v>1</v>
      </c>
      <c r="P4" s="281" t="s">
        <v>3</v>
      </c>
      <c r="R4" s="30">
        <v>1</v>
      </c>
      <c r="S4" s="17" t="s">
        <v>3</v>
      </c>
      <c r="T4" s="281" t="s">
        <v>1</v>
      </c>
      <c r="U4" s="281" t="s">
        <v>1</v>
      </c>
      <c r="V4" s="281" t="s">
        <v>2</v>
      </c>
      <c r="W4" s="281" t="s">
        <v>3</v>
      </c>
      <c r="X4" s="281" t="s">
        <v>0</v>
      </c>
      <c r="Y4" s="84"/>
      <c r="Z4" s="28">
        <v>1</v>
      </c>
      <c r="AA4" s="281" t="s">
        <v>0</v>
      </c>
      <c r="AB4" s="281" t="s">
        <v>1</v>
      </c>
      <c r="AC4" s="281" t="s">
        <v>1</v>
      </c>
      <c r="AD4" s="281" t="s">
        <v>0</v>
      </c>
      <c r="AE4" s="281" t="s">
        <v>3</v>
      </c>
      <c r="AF4" s="281" t="s">
        <v>2</v>
      </c>
    </row>
    <row r="5" spans="2:32">
      <c r="B5" s="27">
        <v>2</v>
      </c>
      <c r="C5" s="13" t="s">
        <v>0</v>
      </c>
      <c r="D5" s="13" t="s">
        <v>0</v>
      </c>
      <c r="E5" s="13" t="s">
        <v>1</v>
      </c>
      <c r="F5" s="13" t="s">
        <v>3</v>
      </c>
      <c r="G5" s="91" t="s">
        <v>1</v>
      </c>
      <c r="H5" s="91" t="s">
        <v>0</v>
      </c>
      <c r="J5" s="29">
        <v>2</v>
      </c>
      <c r="K5" s="14" t="s">
        <v>0</v>
      </c>
      <c r="L5" s="14" t="s">
        <v>0</v>
      </c>
      <c r="M5" s="14" t="s">
        <v>0</v>
      </c>
      <c r="N5" s="14" t="s">
        <v>0</v>
      </c>
      <c r="O5" s="281" t="s">
        <v>3</v>
      </c>
      <c r="P5" s="281" t="s">
        <v>2</v>
      </c>
      <c r="R5" s="31">
        <v>2</v>
      </c>
      <c r="S5" s="18" t="s">
        <v>2</v>
      </c>
      <c r="T5" s="281" t="s">
        <v>0</v>
      </c>
      <c r="U5" s="281" t="s">
        <v>3</v>
      </c>
      <c r="V5" s="281" t="s">
        <v>2</v>
      </c>
      <c r="W5" s="281" t="s">
        <v>2</v>
      </c>
      <c r="X5" s="281" t="s">
        <v>0</v>
      </c>
      <c r="Y5" s="84"/>
      <c r="Z5" s="29">
        <v>2</v>
      </c>
      <c r="AA5" s="281" t="s">
        <v>1</v>
      </c>
      <c r="AB5" s="281" t="s">
        <v>0</v>
      </c>
      <c r="AC5" s="281" t="s">
        <v>0</v>
      </c>
      <c r="AD5" s="281" t="s">
        <v>1</v>
      </c>
      <c r="AE5" s="281" t="s">
        <v>1</v>
      </c>
      <c r="AF5" s="281" t="s">
        <v>1</v>
      </c>
    </row>
    <row r="6" spans="2:32">
      <c r="B6" s="27">
        <v>3</v>
      </c>
      <c r="C6" s="13" t="s">
        <v>1</v>
      </c>
      <c r="D6" s="13" t="s">
        <v>1</v>
      </c>
      <c r="E6" s="13" t="s">
        <v>2</v>
      </c>
      <c r="F6" s="13" t="s">
        <v>3</v>
      </c>
      <c r="G6" s="91" t="s">
        <v>1</v>
      </c>
      <c r="H6" s="91" t="s">
        <v>3</v>
      </c>
      <c r="J6" s="29">
        <v>3</v>
      </c>
      <c r="K6" s="14" t="s">
        <v>2</v>
      </c>
      <c r="L6" s="14" t="s">
        <v>2</v>
      </c>
      <c r="M6" s="14" t="s">
        <v>1</v>
      </c>
      <c r="N6" s="14" t="s">
        <v>0</v>
      </c>
      <c r="O6" s="281" t="s">
        <v>0</v>
      </c>
      <c r="P6" s="281" t="s">
        <v>3</v>
      </c>
      <c r="R6" s="32">
        <v>3</v>
      </c>
      <c r="S6" s="17" t="s">
        <v>1</v>
      </c>
      <c r="T6" s="281" t="s">
        <v>2</v>
      </c>
      <c r="U6" s="281" t="s">
        <v>3</v>
      </c>
      <c r="V6" s="281" t="s">
        <v>2</v>
      </c>
      <c r="W6" s="281" t="s">
        <v>0</v>
      </c>
      <c r="X6" s="281" t="s">
        <v>1</v>
      </c>
      <c r="Y6" s="84"/>
      <c r="Z6" s="29">
        <v>3</v>
      </c>
      <c r="AA6" s="281" t="s">
        <v>3</v>
      </c>
      <c r="AB6" s="281" t="s">
        <v>2</v>
      </c>
      <c r="AC6" s="281" t="s">
        <v>1</v>
      </c>
      <c r="AD6" s="281" t="s">
        <v>1</v>
      </c>
      <c r="AE6" s="281" t="s">
        <v>2</v>
      </c>
      <c r="AF6" s="281" t="s">
        <v>2</v>
      </c>
    </row>
    <row r="7" spans="2:32">
      <c r="B7" s="27">
        <v>4</v>
      </c>
      <c r="C7" s="13" t="s">
        <v>2</v>
      </c>
      <c r="D7" s="13" t="s">
        <v>2</v>
      </c>
      <c r="E7" s="13" t="s">
        <v>2</v>
      </c>
      <c r="F7" s="13" t="s">
        <v>1</v>
      </c>
      <c r="G7" s="91" t="s">
        <v>2</v>
      </c>
      <c r="H7" s="91" t="s">
        <v>2</v>
      </c>
      <c r="J7" s="29">
        <v>4</v>
      </c>
      <c r="K7" s="14" t="s">
        <v>1</v>
      </c>
      <c r="L7" s="14" t="s">
        <v>2</v>
      </c>
      <c r="M7" s="14" t="s">
        <v>1</v>
      </c>
      <c r="N7" s="14" t="s">
        <v>2</v>
      </c>
      <c r="O7" s="281" t="s">
        <v>1</v>
      </c>
      <c r="P7" s="281" t="s">
        <v>0</v>
      </c>
      <c r="R7" s="31">
        <v>4</v>
      </c>
      <c r="S7" s="18" t="s">
        <v>0</v>
      </c>
      <c r="T7" s="281" t="s">
        <v>2</v>
      </c>
      <c r="U7" s="281" t="s">
        <v>0</v>
      </c>
      <c r="V7" s="281" t="s">
        <v>0</v>
      </c>
      <c r="W7" s="281" t="s">
        <v>1</v>
      </c>
      <c r="X7" s="281" t="s">
        <v>2</v>
      </c>
      <c r="Y7" s="84"/>
      <c r="Z7" s="29">
        <v>4</v>
      </c>
      <c r="AA7" s="281" t="s">
        <v>1</v>
      </c>
      <c r="AB7" s="281" t="s">
        <v>1</v>
      </c>
      <c r="AC7" s="281" t="s">
        <v>1</v>
      </c>
      <c r="AD7" s="281" t="s">
        <v>0</v>
      </c>
      <c r="AE7" s="281" t="s">
        <v>0</v>
      </c>
      <c r="AF7" s="281" t="s">
        <v>3</v>
      </c>
    </row>
    <row r="8" spans="2:32">
      <c r="B8" s="27">
        <v>5</v>
      </c>
      <c r="C8" s="13" t="s">
        <v>1</v>
      </c>
      <c r="D8" s="13" t="s">
        <v>3</v>
      </c>
      <c r="E8" s="13" t="s">
        <v>1</v>
      </c>
      <c r="F8" s="13" t="s">
        <v>2</v>
      </c>
      <c r="G8" s="91" t="s">
        <v>1</v>
      </c>
      <c r="H8" s="91" t="s">
        <v>1</v>
      </c>
      <c r="J8" s="29">
        <v>5</v>
      </c>
      <c r="K8" s="14" t="s">
        <v>1</v>
      </c>
      <c r="L8" s="14" t="s">
        <v>3</v>
      </c>
      <c r="M8" s="14" t="s">
        <v>2</v>
      </c>
      <c r="N8" s="14" t="s">
        <v>3</v>
      </c>
      <c r="O8" s="281" t="s">
        <v>2</v>
      </c>
      <c r="P8" s="281" t="s">
        <v>1</v>
      </c>
      <c r="R8" s="32">
        <v>5</v>
      </c>
      <c r="S8" s="17" t="s">
        <v>1</v>
      </c>
      <c r="T8" s="281" t="s">
        <v>1</v>
      </c>
      <c r="U8" s="281" t="s">
        <v>1</v>
      </c>
      <c r="V8" s="281" t="s">
        <v>1</v>
      </c>
      <c r="W8" s="281" t="s">
        <v>3</v>
      </c>
      <c r="X8" s="281" t="s">
        <v>3</v>
      </c>
      <c r="Y8" s="84"/>
      <c r="Z8" s="29">
        <v>5</v>
      </c>
      <c r="AA8" s="281" t="s">
        <v>3</v>
      </c>
      <c r="AB8" s="281" t="s">
        <v>1</v>
      </c>
      <c r="AC8" s="281" t="s">
        <v>0</v>
      </c>
      <c r="AD8" s="281" t="s">
        <v>0</v>
      </c>
      <c r="AE8" s="281" t="s">
        <v>1</v>
      </c>
      <c r="AF8" s="281" t="s">
        <v>0</v>
      </c>
    </row>
    <row r="9" spans="2:32">
      <c r="B9" s="27">
        <v>6</v>
      </c>
      <c r="C9" s="13" t="s">
        <v>3</v>
      </c>
      <c r="D9" s="13" t="s">
        <v>0</v>
      </c>
      <c r="E9" s="13" t="s">
        <v>2</v>
      </c>
      <c r="F9" s="13" t="s">
        <v>2</v>
      </c>
      <c r="G9" s="91" t="s">
        <v>2</v>
      </c>
      <c r="H9" s="91" t="s">
        <v>3</v>
      </c>
      <c r="J9" s="29">
        <v>6</v>
      </c>
      <c r="K9" s="14" t="s">
        <v>3</v>
      </c>
      <c r="L9" s="14" t="s">
        <v>3</v>
      </c>
      <c r="M9" s="14" t="s">
        <v>0</v>
      </c>
      <c r="N9" s="14" t="s">
        <v>0</v>
      </c>
      <c r="O9" s="281" t="s">
        <v>1</v>
      </c>
      <c r="P9" s="281" t="s">
        <v>0</v>
      </c>
      <c r="R9" s="31">
        <v>6</v>
      </c>
      <c r="S9" s="18" t="s">
        <v>2</v>
      </c>
      <c r="T9" s="281" t="s">
        <v>3</v>
      </c>
      <c r="U9" s="281" t="s">
        <v>1</v>
      </c>
      <c r="V9" s="281" t="s">
        <v>0</v>
      </c>
      <c r="W9" s="281" t="s">
        <v>2</v>
      </c>
      <c r="X9" s="281" t="s">
        <v>2</v>
      </c>
      <c r="Y9" s="84"/>
      <c r="Z9" s="29">
        <v>6</v>
      </c>
      <c r="AA9" s="281" t="s">
        <v>3</v>
      </c>
      <c r="AB9" s="281" t="s">
        <v>0</v>
      </c>
      <c r="AC9" s="281" t="s">
        <v>2</v>
      </c>
      <c r="AD9" s="281" t="s">
        <v>2</v>
      </c>
      <c r="AE9" s="281" t="s">
        <v>0</v>
      </c>
      <c r="AF9" s="281" t="s">
        <v>1</v>
      </c>
    </row>
    <row r="10" spans="2:32">
      <c r="B10" s="27">
        <v>7</v>
      </c>
      <c r="C10" s="13" t="s">
        <v>3</v>
      </c>
      <c r="D10" s="13" t="s">
        <v>3</v>
      </c>
      <c r="E10" s="13" t="s">
        <v>2</v>
      </c>
      <c r="F10" s="13" t="s">
        <v>0</v>
      </c>
      <c r="G10" s="91" t="s">
        <v>3</v>
      </c>
      <c r="H10" s="91" t="s">
        <v>0</v>
      </c>
      <c r="J10" s="29">
        <v>7</v>
      </c>
      <c r="K10" s="14" t="s">
        <v>0</v>
      </c>
      <c r="L10" s="14" t="s">
        <v>0</v>
      </c>
      <c r="M10" s="14" t="s">
        <v>2</v>
      </c>
      <c r="N10" s="14" t="s">
        <v>3</v>
      </c>
      <c r="O10" s="281" t="s">
        <v>3</v>
      </c>
      <c r="P10" s="281" t="s">
        <v>2</v>
      </c>
      <c r="R10" s="32">
        <v>7</v>
      </c>
      <c r="S10" s="17" t="s">
        <v>0</v>
      </c>
      <c r="T10" s="281" t="s">
        <v>2</v>
      </c>
      <c r="U10" s="281" t="s">
        <v>1</v>
      </c>
      <c r="V10" s="281" t="s">
        <v>3</v>
      </c>
      <c r="W10" s="281" t="s">
        <v>1</v>
      </c>
      <c r="X10" s="281" t="s">
        <v>1</v>
      </c>
      <c r="Y10" s="84"/>
      <c r="Z10" s="29">
        <v>7</v>
      </c>
      <c r="AA10" s="281" t="s">
        <v>1</v>
      </c>
      <c r="AB10" s="281" t="s">
        <v>3</v>
      </c>
      <c r="AC10" s="281" t="s">
        <v>3</v>
      </c>
      <c r="AD10" s="281" t="s">
        <v>2</v>
      </c>
      <c r="AE10" s="281" t="s">
        <v>2</v>
      </c>
      <c r="AF10" s="281" t="s">
        <v>3</v>
      </c>
    </row>
    <row r="11" spans="2:32">
      <c r="B11" s="27">
        <v>8</v>
      </c>
      <c r="C11" s="13" t="s">
        <v>0</v>
      </c>
      <c r="D11" s="13" t="s">
        <v>3</v>
      </c>
      <c r="E11" s="13" t="s">
        <v>0</v>
      </c>
      <c r="F11" s="13" t="s">
        <v>3</v>
      </c>
      <c r="G11" s="91" t="s">
        <v>0</v>
      </c>
      <c r="H11" s="91" t="s">
        <v>0</v>
      </c>
      <c r="J11" s="29">
        <v>8</v>
      </c>
      <c r="K11" s="14" t="s">
        <v>1</v>
      </c>
      <c r="L11" s="14" t="s">
        <v>3</v>
      </c>
      <c r="M11" s="14" t="s">
        <v>3</v>
      </c>
      <c r="N11" s="14" t="s">
        <v>0</v>
      </c>
      <c r="O11" s="281" t="s">
        <v>3</v>
      </c>
      <c r="P11" s="281" t="s">
        <v>1</v>
      </c>
      <c r="R11" s="31">
        <v>8</v>
      </c>
      <c r="S11" s="18" t="s">
        <v>1</v>
      </c>
      <c r="T11" s="281" t="s">
        <v>1</v>
      </c>
      <c r="U11" s="281" t="s">
        <v>2</v>
      </c>
      <c r="V11" s="281" t="s">
        <v>2</v>
      </c>
      <c r="W11" s="281" t="s">
        <v>2</v>
      </c>
      <c r="X11" s="281" t="s">
        <v>0</v>
      </c>
      <c r="Y11" s="84"/>
      <c r="Z11" s="29">
        <v>8</v>
      </c>
      <c r="AA11" s="281" t="s">
        <v>3</v>
      </c>
      <c r="AB11" s="281" t="s">
        <v>3</v>
      </c>
      <c r="AC11" s="281" t="s">
        <v>1</v>
      </c>
      <c r="AD11" s="281" t="s">
        <v>3</v>
      </c>
      <c r="AE11" s="281" t="s">
        <v>1</v>
      </c>
      <c r="AF11" s="281" t="s">
        <v>3</v>
      </c>
    </row>
    <row r="12" spans="2:32">
      <c r="B12" s="27">
        <v>9</v>
      </c>
      <c r="C12" s="13" t="s">
        <v>1</v>
      </c>
      <c r="D12" s="13" t="s">
        <v>0</v>
      </c>
      <c r="E12" s="13" t="s">
        <v>0</v>
      </c>
      <c r="F12" s="13" t="s">
        <v>3</v>
      </c>
      <c r="G12" s="91" t="s">
        <v>0</v>
      </c>
      <c r="H12" s="91" t="s">
        <v>2</v>
      </c>
      <c r="J12" s="29">
        <v>9</v>
      </c>
      <c r="K12" s="14" t="s">
        <v>2</v>
      </c>
      <c r="L12" s="14" t="s">
        <v>0</v>
      </c>
      <c r="M12" s="14" t="s">
        <v>1</v>
      </c>
      <c r="N12" s="14" t="s">
        <v>1</v>
      </c>
      <c r="O12" s="281" t="s">
        <v>0</v>
      </c>
      <c r="P12" s="281" t="s">
        <v>3</v>
      </c>
      <c r="R12" s="32">
        <v>9</v>
      </c>
      <c r="S12" s="17" t="s">
        <v>0</v>
      </c>
      <c r="T12" s="281" t="s">
        <v>0</v>
      </c>
      <c r="U12" s="281" t="s">
        <v>2</v>
      </c>
      <c r="V12" s="281" t="s">
        <v>3</v>
      </c>
      <c r="W12" s="281" t="s">
        <v>2</v>
      </c>
      <c r="X12" s="281" t="s">
        <v>1</v>
      </c>
      <c r="Y12" s="84"/>
      <c r="Z12" s="29">
        <v>9</v>
      </c>
      <c r="AA12" s="281" t="s">
        <v>2</v>
      </c>
      <c r="AB12" s="281" t="s">
        <v>2</v>
      </c>
      <c r="AC12" s="281" t="s">
        <v>0</v>
      </c>
      <c r="AD12" s="281" t="s">
        <v>0</v>
      </c>
      <c r="AE12" s="281" t="s">
        <v>0</v>
      </c>
      <c r="AF12" s="281" t="s">
        <v>0</v>
      </c>
    </row>
    <row r="13" spans="2:32">
      <c r="B13" s="27">
        <v>10</v>
      </c>
      <c r="C13" s="13" t="s">
        <v>0</v>
      </c>
      <c r="D13" s="13" t="s">
        <v>3</v>
      </c>
      <c r="E13" s="13" t="s">
        <v>3</v>
      </c>
      <c r="F13" s="13" t="s">
        <v>2</v>
      </c>
      <c r="G13" s="91" t="s">
        <v>0</v>
      </c>
      <c r="H13" s="91" t="s">
        <v>3</v>
      </c>
      <c r="J13" s="29">
        <v>10</v>
      </c>
      <c r="K13" s="14" t="s">
        <v>2</v>
      </c>
      <c r="L13" s="14" t="s">
        <v>0</v>
      </c>
      <c r="M13" s="14" t="s">
        <v>1</v>
      </c>
      <c r="N13" s="14" t="s">
        <v>2</v>
      </c>
      <c r="O13" s="281" t="s">
        <v>1</v>
      </c>
      <c r="P13" s="281" t="s">
        <v>0</v>
      </c>
      <c r="R13" s="31">
        <v>10</v>
      </c>
      <c r="S13" s="18" t="s">
        <v>2</v>
      </c>
      <c r="T13" s="281" t="s">
        <v>1</v>
      </c>
      <c r="U13" s="281" t="s">
        <v>2</v>
      </c>
      <c r="V13" s="281" t="s">
        <v>3</v>
      </c>
      <c r="W13" s="281" t="s">
        <v>0</v>
      </c>
      <c r="X13" s="281" t="s">
        <v>3</v>
      </c>
      <c r="Y13" s="84"/>
      <c r="Z13" s="29">
        <v>10</v>
      </c>
      <c r="AA13" s="281" t="s">
        <v>0</v>
      </c>
      <c r="AB13" s="281" t="s">
        <v>0</v>
      </c>
      <c r="AC13" s="281" t="s">
        <v>3</v>
      </c>
      <c r="AD13" s="281" t="s">
        <v>2</v>
      </c>
      <c r="AE13" s="281" t="s">
        <v>2</v>
      </c>
      <c r="AF13" s="281" t="s">
        <v>0</v>
      </c>
    </row>
    <row r="14" spans="2:32">
      <c r="B14" s="27">
        <v>11</v>
      </c>
      <c r="C14" s="13" t="s">
        <v>2</v>
      </c>
      <c r="D14" s="13" t="s">
        <v>3</v>
      </c>
      <c r="E14" s="13" t="s">
        <v>2</v>
      </c>
      <c r="F14" s="13" t="s">
        <v>1</v>
      </c>
      <c r="G14" s="91" t="s">
        <v>0</v>
      </c>
      <c r="H14" s="91" t="s">
        <v>0</v>
      </c>
      <c r="J14" s="29">
        <v>11</v>
      </c>
      <c r="K14" s="14" t="s">
        <v>0</v>
      </c>
      <c r="L14" s="14" t="s">
        <v>1</v>
      </c>
      <c r="M14" s="14" t="s">
        <v>0</v>
      </c>
      <c r="N14" s="14" t="s">
        <v>1</v>
      </c>
      <c r="O14" s="281" t="s">
        <v>1</v>
      </c>
      <c r="P14" s="281" t="s">
        <v>1</v>
      </c>
      <c r="R14" s="32">
        <v>11</v>
      </c>
      <c r="S14" s="17" t="s">
        <v>3</v>
      </c>
      <c r="T14" s="281" t="s">
        <v>1</v>
      </c>
      <c r="U14" s="281" t="s">
        <v>0</v>
      </c>
      <c r="V14" s="281" t="s">
        <v>1</v>
      </c>
      <c r="W14" s="281" t="s">
        <v>1</v>
      </c>
      <c r="X14" s="281" t="s">
        <v>0</v>
      </c>
      <c r="Y14" s="84"/>
      <c r="Z14" s="29">
        <v>11</v>
      </c>
      <c r="AA14" s="281" t="s">
        <v>2</v>
      </c>
      <c r="AB14" s="281" t="s">
        <v>0</v>
      </c>
      <c r="AC14" s="281" t="s">
        <v>0</v>
      </c>
      <c r="AD14" s="281" t="s">
        <v>2</v>
      </c>
      <c r="AE14" s="281" t="s">
        <v>2</v>
      </c>
      <c r="AF14" s="281" t="s">
        <v>0</v>
      </c>
    </row>
    <row r="15" spans="2:32">
      <c r="B15" s="27">
        <v>12</v>
      </c>
      <c r="C15" s="13" t="s">
        <v>0</v>
      </c>
      <c r="D15" s="13" t="s">
        <v>3</v>
      </c>
      <c r="E15" s="13" t="s">
        <v>1</v>
      </c>
      <c r="F15" s="13" t="s">
        <v>3</v>
      </c>
      <c r="G15" s="91" t="s">
        <v>2</v>
      </c>
      <c r="H15" s="91" t="s">
        <v>3</v>
      </c>
      <c r="J15" s="29">
        <v>12</v>
      </c>
      <c r="K15" s="14" t="s">
        <v>0</v>
      </c>
      <c r="L15" s="14" t="s">
        <v>0</v>
      </c>
      <c r="M15" s="14" t="s">
        <v>2</v>
      </c>
      <c r="N15" s="14" t="s">
        <v>3</v>
      </c>
      <c r="O15" s="281" t="s">
        <v>3</v>
      </c>
      <c r="P15" s="281" t="s">
        <v>3</v>
      </c>
      <c r="R15" s="31">
        <v>12</v>
      </c>
      <c r="S15" s="18" t="s">
        <v>3</v>
      </c>
      <c r="T15" s="281" t="s">
        <v>0</v>
      </c>
      <c r="U15" s="281" t="s">
        <v>2</v>
      </c>
      <c r="V15" s="281" t="s">
        <v>1</v>
      </c>
      <c r="W15" s="281" t="s">
        <v>3</v>
      </c>
      <c r="X15" s="281" t="s">
        <v>3</v>
      </c>
      <c r="Y15" s="84"/>
      <c r="Z15" s="29">
        <v>12</v>
      </c>
      <c r="AA15" s="281" t="s">
        <v>1</v>
      </c>
      <c r="AB15" s="281" t="s">
        <v>3</v>
      </c>
      <c r="AC15" s="281" t="s">
        <v>3</v>
      </c>
      <c r="AD15" s="281" t="s">
        <v>1</v>
      </c>
      <c r="AE15" s="281" t="s">
        <v>3</v>
      </c>
      <c r="AF15" s="281" t="s">
        <v>3</v>
      </c>
    </row>
    <row r="16" spans="2:32">
      <c r="B16" s="27">
        <v>13</v>
      </c>
      <c r="C16" s="13" t="s">
        <v>3</v>
      </c>
      <c r="D16" s="13" t="s">
        <v>2</v>
      </c>
      <c r="E16" s="13" t="s">
        <v>3</v>
      </c>
      <c r="F16" s="13" t="s">
        <v>2</v>
      </c>
      <c r="G16" s="91" t="s">
        <v>0</v>
      </c>
      <c r="H16" s="91" t="s">
        <v>1</v>
      </c>
      <c r="J16" s="29">
        <v>13</v>
      </c>
      <c r="K16" s="14" t="s">
        <v>2</v>
      </c>
      <c r="L16" s="14" t="s">
        <v>3</v>
      </c>
      <c r="M16" s="14" t="s">
        <v>1</v>
      </c>
      <c r="N16" s="14" t="s">
        <v>0</v>
      </c>
      <c r="O16" s="281" t="s">
        <v>3</v>
      </c>
      <c r="P16" s="281" t="s">
        <v>2</v>
      </c>
      <c r="R16" s="32">
        <v>13</v>
      </c>
      <c r="S16" s="17" t="s">
        <v>0</v>
      </c>
      <c r="T16" s="281" t="s">
        <v>3</v>
      </c>
      <c r="U16" s="281" t="s">
        <v>0</v>
      </c>
      <c r="V16" s="281" t="s">
        <v>0</v>
      </c>
      <c r="W16" s="281" t="s">
        <v>0</v>
      </c>
      <c r="X16" s="281" t="s">
        <v>2</v>
      </c>
      <c r="Y16" s="84"/>
      <c r="Z16" s="29">
        <v>13</v>
      </c>
      <c r="AA16" s="281" t="s">
        <v>1</v>
      </c>
      <c r="AB16" s="281" t="s">
        <v>3</v>
      </c>
      <c r="AC16" s="281" t="s">
        <v>3</v>
      </c>
      <c r="AD16" s="281" t="s">
        <v>1</v>
      </c>
      <c r="AE16" s="281" t="s">
        <v>3</v>
      </c>
      <c r="AF16" s="281" t="s">
        <v>2</v>
      </c>
    </row>
    <row r="17" spans="2:32">
      <c r="B17" s="27">
        <v>14</v>
      </c>
      <c r="C17" s="13" t="s">
        <v>2</v>
      </c>
      <c r="D17" s="13" t="s">
        <v>0</v>
      </c>
      <c r="E17" s="13" t="s">
        <v>0</v>
      </c>
      <c r="F17" s="13" t="s">
        <v>0</v>
      </c>
      <c r="G17" s="91" t="s">
        <v>3</v>
      </c>
      <c r="H17" s="91" t="s">
        <v>1</v>
      </c>
      <c r="J17" s="29">
        <v>14</v>
      </c>
      <c r="K17" s="14" t="s">
        <v>0</v>
      </c>
      <c r="L17" s="14" t="s">
        <v>1</v>
      </c>
      <c r="M17" s="14" t="s">
        <v>3</v>
      </c>
      <c r="N17" s="14" t="s">
        <v>3</v>
      </c>
      <c r="O17" s="281" t="s">
        <v>2</v>
      </c>
      <c r="P17" s="281" t="s">
        <v>0</v>
      </c>
      <c r="R17" s="31">
        <v>14</v>
      </c>
      <c r="S17" s="18" t="s">
        <v>2</v>
      </c>
      <c r="T17" s="281" t="s">
        <v>2</v>
      </c>
      <c r="U17" s="281" t="s">
        <v>2</v>
      </c>
      <c r="V17" s="281" t="s">
        <v>2</v>
      </c>
      <c r="W17" s="281" t="s">
        <v>1</v>
      </c>
      <c r="X17" s="281" t="s">
        <v>2</v>
      </c>
      <c r="Y17" s="84"/>
      <c r="Z17" s="29">
        <v>14</v>
      </c>
      <c r="AA17" s="281" t="s">
        <v>1</v>
      </c>
      <c r="AB17" s="281" t="s">
        <v>1</v>
      </c>
      <c r="AC17" s="281" t="s">
        <v>2</v>
      </c>
      <c r="AD17" s="281" t="s">
        <v>3</v>
      </c>
      <c r="AE17" s="281" t="s">
        <v>2</v>
      </c>
      <c r="AF17" s="281" t="s">
        <v>0</v>
      </c>
    </row>
    <row r="18" spans="2:32">
      <c r="B18" s="27">
        <v>15</v>
      </c>
      <c r="C18" s="13" t="s">
        <v>2</v>
      </c>
      <c r="D18" s="13" t="s">
        <v>1</v>
      </c>
      <c r="E18" s="13" t="s">
        <v>0</v>
      </c>
      <c r="F18" s="13" t="s">
        <v>2</v>
      </c>
      <c r="G18" s="91" t="s">
        <v>1</v>
      </c>
      <c r="H18" s="91" t="s">
        <v>0</v>
      </c>
      <c r="J18" s="29">
        <v>15</v>
      </c>
      <c r="K18" s="14" t="s">
        <v>1</v>
      </c>
      <c r="L18" s="14" t="s">
        <v>1</v>
      </c>
      <c r="M18" s="14" t="s">
        <v>0</v>
      </c>
      <c r="N18" s="14" t="s">
        <v>1</v>
      </c>
      <c r="O18" s="281" t="s">
        <v>0</v>
      </c>
      <c r="P18" s="281" t="s">
        <v>1</v>
      </c>
      <c r="R18" s="32">
        <v>15</v>
      </c>
      <c r="S18" s="17" t="s">
        <v>3</v>
      </c>
      <c r="T18" s="281" t="s">
        <v>3</v>
      </c>
      <c r="U18" s="281" t="s">
        <v>3</v>
      </c>
      <c r="V18" s="281" t="s">
        <v>0</v>
      </c>
      <c r="W18" s="281" t="s">
        <v>3</v>
      </c>
      <c r="X18" s="281" t="s">
        <v>3</v>
      </c>
      <c r="Y18" s="84"/>
      <c r="Z18" s="29">
        <v>15</v>
      </c>
      <c r="AA18" s="281" t="s">
        <v>2</v>
      </c>
      <c r="AB18" s="281" t="s">
        <v>2</v>
      </c>
      <c r="AC18" s="281" t="s">
        <v>2</v>
      </c>
      <c r="AD18" s="281" t="s">
        <v>0</v>
      </c>
      <c r="AE18" s="281" t="s">
        <v>2</v>
      </c>
      <c r="AF18" s="281" t="s">
        <v>3</v>
      </c>
    </row>
    <row r="19" spans="2:32">
      <c r="B19" s="27">
        <v>16</v>
      </c>
      <c r="C19" s="13" t="s">
        <v>1</v>
      </c>
      <c r="D19" s="13" t="s">
        <v>2</v>
      </c>
      <c r="E19" s="13" t="s">
        <v>1</v>
      </c>
      <c r="F19" s="13" t="s">
        <v>1</v>
      </c>
      <c r="G19" s="91" t="s">
        <v>2</v>
      </c>
      <c r="H19" s="91" t="s">
        <v>2</v>
      </c>
      <c r="J19" s="29">
        <v>16</v>
      </c>
      <c r="K19" s="14" t="s">
        <v>1</v>
      </c>
      <c r="L19" s="14" t="s">
        <v>1</v>
      </c>
      <c r="M19" s="14" t="s">
        <v>1</v>
      </c>
      <c r="N19" s="14" t="s">
        <v>1</v>
      </c>
      <c r="O19" s="281" t="s">
        <v>1</v>
      </c>
      <c r="P19" s="281" t="s">
        <v>0</v>
      </c>
      <c r="R19" s="31">
        <v>16</v>
      </c>
      <c r="S19" s="18">
        <v>2</v>
      </c>
      <c r="T19" s="281" t="str">
        <f>CONCATENATE(S27,",",T27,",",U27)</f>
        <v>3,6,9</v>
      </c>
      <c r="U19" s="281" t="str">
        <f>CONCATENATE(S28,",",T28)</f>
        <v>1,2</v>
      </c>
      <c r="V19" s="281">
        <v>9</v>
      </c>
      <c r="W19" s="281">
        <v>4</v>
      </c>
      <c r="X19" s="281" t="str">
        <f>CONCATENATE(S29,",",T29,",",U29,",",V29,",",W29)</f>
        <v>1,2,4,8,16</v>
      </c>
      <c r="Y19" s="84"/>
      <c r="Z19" s="29">
        <v>16</v>
      </c>
      <c r="AA19" s="281" t="s">
        <v>1</v>
      </c>
      <c r="AB19" s="281" t="s">
        <v>0</v>
      </c>
      <c r="AC19" s="281" t="s">
        <v>0</v>
      </c>
      <c r="AD19" s="281" t="s">
        <v>2</v>
      </c>
      <c r="AE19" s="281" t="s">
        <v>3</v>
      </c>
      <c r="AF19" s="281" t="s">
        <v>0</v>
      </c>
    </row>
    <row r="20" spans="2:32">
      <c r="B20" s="27">
        <v>17</v>
      </c>
      <c r="C20" s="13" t="s">
        <v>1</v>
      </c>
      <c r="D20" s="13" t="s">
        <v>1</v>
      </c>
      <c r="E20" s="13" t="s">
        <v>0</v>
      </c>
      <c r="F20" s="13" t="s">
        <v>1</v>
      </c>
      <c r="G20" s="91" t="s">
        <v>0</v>
      </c>
      <c r="H20" s="91" t="s">
        <v>3</v>
      </c>
      <c r="J20" s="29">
        <v>17</v>
      </c>
      <c r="K20" s="14" t="s">
        <v>1</v>
      </c>
      <c r="L20" s="14" t="s">
        <v>0</v>
      </c>
      <c r="M20" s="14" t="s">
        <v>1</v>
      </c>
      <c r="N20" s="14" t="s">
        <v>2</v>
      </c>
      <c r="O20" s="281" t="s">
        <v>1</v>
      </c>
      <c r="P20" s="281" t="s">
        <v>2</v>
      </c>
      <c r="R20" s="32">
        <v>17</v>
      </c>
      <c r="S20" s="17">
        <v>1600</v>
      </c>
      <c r="T20" s="16">
        <v>19</v>
      </c>
      <c r="U20" s="281">
        <v>2</v>
      </c>
      <c r="V20" s="41">
        <v>0.6</v>
      </c>
      <c r="W20" s="41">
        <v>1.2</v>
      </c>
      <c r="X20" s="41">
        <v>3.75</v>
      </c>
      <c r="Y20" s="39"/>
      <c r="Z20" s="29">
        <v>17</v>
      </c>
      <c r="AA20" s="281" t="s">
        <v>0</v>
      </c>
      <c r="AB20" s="281" t="s">
        <v>1</v>
      </c>
      <c r="AC20" s="281" t="s">
        <v>0</v>
      </c>
      <c r="AD20" s="281" t="s">
        <v>3</v>
      </c>
      <c r="AE20" s="281" t="s">
        <v>3</v>
      </c>
      <c r="AF20" s="281" t="s">
        <v>0</v>
      </c>
    </row>
    <row r="21" spans="2:32">
      <c r="B21" s="27">
        <v>18</v>
      </c>
      <c r="C21" s="13" t="s">
        <v>3</v>
      </c>
      <c r="D21" s="13" t="s">
        <v>1</v>
      </c>
      <c r="E21" s="13" t="s">
        <v>0</v>
      </c>
      <c r="F21" s="13" t="s">
        <v>2</v>
      </c>
      <c r="G21" s="91" t="s">
        <v>0</v>
      </c>
      <c r="H21" s="91" t="s">
        <v>2</v>
      </c>
      <c r="J21" s="29">
        <v>18</v>
      </c>
      <c r="K21" s="14" t="s">
        <v>2</v>
      </c>
      <c r="L21" s="14" t="s">
        <v>0</v>
      </c>
      <c r="M21" s="14" t="s">
        <v>0</v>
      </c>
      <c r="N21" s="14" t="s">
        <v>1</v>
      </c>
      <c r="O21" s="281" t="s">
        <v>2</v>
      </c>
      <c r="P21" s="281" t="s">
        <v>1</v>
      </c>
      <c r="R21" s="31">
        <v>18</v>
      </c>
      <c r="S21" s="18">
        <v>7</v>
      </c>
      <c r="T21" s="281">
        <v>12</v>
      </c>
      <c r="U21" s="281">
        <v>105</v>
      </c>
      <c r="V21" s="281">
        <v>5</v>
      </c>
      <c r="W21" s="281">
        <v>5.25</v>
      </c>
      <c r="X21" s="281">
        <v>30</v>
      </c>
      <c r="Y21" s="84"/>
      <c r="Z21" s="29">
        <v>18</v>
      </c>
      <c r="AA21" s="281" t="s">
        <v>2</v>
      </c>
      <c r="AB21" s="281" t="s">
        <v>1</v>
      </c>
      <c r="AC21" s="281" t="s">
        <v>0</v>
      </c>
      <c r="AD21" s="281" t="s">
        <v>1</v>
      </c>
      <c r="AE21" s="281" t="s">
        <v>1</v>
      </c>
      <c r="AF21" s="281" t="s">
        <v>1</v>
      </c>
    </row>
    <row r="22" spans="2:32">
      <c r="B22" s="27">
        <v>19</v>
      </c>
      <c r="C22" s="13" t="s">
        <v>2</v>
      </c>
      <c r="D22" s="13" t="s">
        <v>2</v>
      </c>
      <c r="E22" s="13" t="s">
        <v>2</v>
      </c>
      <c r="F22" s="13" t="s">
        <v>0</v>
      </c>
      <c r="G22" s="91" t="s">
        <v>0</v>
      </c>
      <c r="H22" s="91" t="s">
        <v>2</v>
      </c>
      <c r="J22" s="29">
        <v>19</v>
      </c>
      <c r="K22" s="14" t="s">
        <v>3</v>
      </c>
      <c r="L22" s="14" t="s">
        <v>2</v>
      </c>
      <c r="M22" s="14" t="s">
        <v>3</v>
      </c>
      <c r="N22" s="14" t="s">
        <v>2</v>
      </c>
      <c r="O22" s="281" t="s">
        <v>3</v>
      </c>
      <c r="P22" s="281" t="s">
        <v>3</v>
      </c>
      <c r="R22" s="32">
        <v>19</v>
      </c>
      <c r="S22" s="288">
        <v>0.8</v>
      </c>
      <c r="T22" s="281">
        <v>6</v>
      </c>
      <c r="U22" s="281">
        <v>370</v>
      </c>
      <c r="V22" s="281">
        <v>0</v>
      </c>
      <c r="W22" s="281">
        <v>2</v>
      </c>
      <c r="X22" s="283">
        <v>1.5</v>
      </c>
      <c r="Y22" s="84"/>
      <c r="Z22" s="29">
        <v>19</v>
      </c>
      <c r="AA22" s="281" t="s">
        <v>0</v>
      </c>
      <c r="AB22" s="281" t="s">
        <v>0</v>
      </c>
      <c r="AC22" s="281" t="s">
        <v>1</v>
      </c>
      <c r="AD22" s="281" t="s">
        <v>2</v>
      </c>
      <c r="AE22" s="281" t="s">
        <v>0</v>
      </c>
      <c r="AF22" s="281" t="s">
        <v>1</v>
      </c>
    </row>
    <row r="23" spans="2:32">
      <c r="B23" s="27">
        <v>20</v>
      </c>
      <c r="C23" s="13" t="s">
        <v>0</v>
      </c>
      <c r="D23" s="13" t="s">
        <v>0</v>
      </c>
      <c r="E23" s="13" t="s">
        <v>2</v>
      </c>
      <c r="F23" s="13" t="s">
        <v>2</v>
      </c>
      <c r="G23" s="91" t="s">
        <v>2</v>
      </c>
      <c r="H23" s="91" t="s">
        <v>1</v>
      </c>
      <c r="J23" s="29">
        <v>20</v>
      </c>
      <c r="K23" s="14" t="s">
        <v>3</v>
      </c>
      <c r="L23" s="14" t="s">
        <v>3</v>
      </c>
      <c r="M23" s="14" t="s">
        <v>1</v>
      </c>
      <c r="N23" s="14" t="s">
        <v>1</v>
      </c>
      <c r="O23" s="281" t="s">
        <v>3</v>
      </c>
      <c r="P23" s="281" t="s">
        <v>3</v>
      </c>
      <c r="R23" s="33">
        <v>20</v>
      </c>
      <c r="S23" s="18">
        <v>100</v>
      </c>
      <c r="T23" s="42">
        <v>0.25</v>
      </c>
      <c r="U23" s="41">
        <v>0.6</v>
      </c>
      <c r="V23" s="281">
        <v>25</v>
      </c>
      <c r="W23" s="281">
        <v>97</v>
      </c>
      <c r="X23" s="283">
        <v>0.16666666666666666</v>
      </c>
      <c r="Y23" s="84"/>
      <c r="Z23" s="29">
        <v>20</v>
      </c>
      <c r="AA23" s="281" t="s">
        <v>3</v>
      </c>
      <c r="AB23" s="281" t="s">
        <v>1</v>
      </c>
      <c r="AC23" s="281" t="s">
        <v>0</v>
      </c>
      <c r="AD23" s="281" t="s">
        <v>1</v>
      </c>
      <c r="AE23" s="281" t="s">
        <v>3</v>
      </c>
      <c r="AF23" s="281" t="s">
        <v>1</v>
      </c>
    </row>
    <row r="24" spans="2:32">
      <c r="B24" s="27">
        <v>21</v>
      </c>
      <c r="C24" s="13" t="s">
        <v>2</v>
      </c>
      <c r="D24" s="13" t="s">
        <v>1</v>
      </c>
      <c r="E24" s="13" t="s">
        <v>3</v>
      </c>
      <c r="F24" s="13" t="s">
        <v>3</v>
      </c>
      <c r="G24" s="91" t="s">
        <v>3</v>
      </c>
      <c r="H24" s="91" t="s">
        <v>1</v>
      </c>
      <c r="J24" s="29">
        <v>21</v>
      </c>
      <c r="K24" s="14" t="s">
        <v>0</v>
      </c>
      <c r="L24" s="14" t="s">
        <v>3</v>
      </c>
      <c r="M24" s="14" t="s">
        <v>3</v>
      </c>
      <c r="N24" s="14" t="s">
        <v>0</v>
      </c>
      <c r="O24" s="281" t="s">
        <v>2</v>
      </c>
      <c r="P24" s="281" t="s">
        <v>2</v>
      </c>
      <c r="Z24" s="29">
        <v>21</v>
      </c>
      <c r="AA24" s="281" t="s">
        <v>1</v>
      </c>
      <c r="AB24" s="281" t="s">
        <v>3</v>
      </c>
      <c r="AC24" s="281" t="s">
        <v>1</v>
      </c>
      <c r="AD24" s="281" t="s">
        <v>1</v>
      </c>
      <c r="AE24" s="281" t="s">
        <v>2</v>
      </c>
      <c r="AF24" s="281" t="s">
        <v>3</v>
      </c>
    </row>
    <row r="25" spans="2:32">
      <c r="B25" s="27">
        <v>22</v>
      </c>
      <c r="C25" s="13" t="s">
        <v>0</v>
      </c>
      <c r="D25" s="13" t="s">
        <v>1</v>
      </c>
      <c r="E25" s="13" t="s">
        <v>2</v>
      </c>
      <c r="F25" s="13" t="s">
        <v>2</v>
      </c>
      <c r="G25" s="91" t="s">
        <v>2</v>
      </c>
      <c r="H25" s="91" t="s">
        <v>0</v>
      </c>
      <c r="J25" s="29">
        <v>22</v>
      </c>
      <c r="K25" s="14" t="s">
        <v>3</v>
      </c>
      <c r="L25" s="14" t="s">
        <v>0</v>
      </c>
      <c r="M25" s="14" t="s">
        <v>2</v>
      </c>
      <c r="N25" s="14" t="s">
        <v>3</v>
      </c>
      <c r="O25" s="281" t="s">
        <v>0</v>
      </c>
      <c r="P25" s="281" t="s">
        <v>2</v>
      </c>
      <c r="Z25" s="29">
        <v>22</v>
      </c>
      <c r="AA25" s="281" t="s">
        <v>0</v>
      </c>
      <c r="AB25" s="281" t="s">
        <v>0</v>
      </c>
      <c r="AC25" s="281" t="s">
        <v>0</v>
      </c>
      <c r="AD25" s="281" t="s">
        <v>0</v>
      </c>
      <c r="AE25" s="281" t="s">
        <v>1</v>
      </c>
      <c r="AF25" s="281" t="s">
        <v>0</v>
      </c>
    </row>
    <row r="26" spans="2:32">
      <c r="B26" s="27">
        <v>23</v>
      </c>
      <c r="C26" s="13" t="s">
        <v>3</v>
      </c>
      <c r="D26" s="13" t="s">
        <v>2</v>
      </c>
      <c r="E26" s="13" t="s">
        <v>2</v>
      </c>
      <c r="F26" s="13" t="s">
        <v>1</v>
      </c>
      <c r="G26" s="91" t="s">
        <v>0</v>
      </c>
      <c r="H26" s="91" t="s">
        <v>2</v>
      </c>
      <c r="J26" s="29">
        <v>23</v>
      </c>
      <c r="K26" s="14" t="s">
        <v>3</v>
      </c>
      <c r="L26" s="14" t="s">
        <v>2</v>
      </c>
      <c r="M26" s="14" t="s">
        <v>2</v>
      </c>
      <c r="N26" s="14" t="s">
        <v>1</v>
      </c>
      <c r="O26" s="281" t="s">
        <v>0</v>
      </c>
      <c r="P26" s="281" t="s">
        <v>0</v>
      </c>
      <c r="R26" t="s">
        <v>25</v>
      </c>
      <c r="Z26" s="29">
        <v>23</v>
      </c>
      <c r="AA26" s="281" t="s">
        <v>0</v>
      </c>
      <c r="AB26" s="281" t="s">
        <v>2</v>
      </c>
      <c r="AC26" s="281" t="s">
        <v>1</v>
      </c>
      <c r="AD26" s="281" t="s">
        <v>0</v>
      </c>
      <c r="AE26" s="281" t="s">
        <v>3</v>
      </c>
      <c r="AF26" s="281" t="s">
        <v>1</v>
      </c>
    </row>
    <row r="27" spans="2:32">
      <c r="B27" s="27">
        <v>24</v>
      </c>
      <c r="C27" s="13" t="s">
        <v>3</v>
      </c>
      <c r="D27" s="13" t="s">
        <v>0</v>
      </c>
      <c r="E27" s="13" t="s">
        <v>0</v>
      </c>
      <c r="F27" s="13" t="s">
        <v>1</v>
      </c>
      <c r="G27" s="91" t="s">
        <v>2</v>
      </c>
      <c r="H27" s="91" t="s">
        <v>3</v>
      </c>
      <c r="J27" s="29">
        <v>24</v>
      </c>
      <c r="K27" s="14" t="s">
        <v>3</v>
      </c>
      <c r="L27" s="14" t="s">
        <v>0</v>
      </c>
      <c r="M27" s="14" t="s">
        <v>3</v>
      </c>
      <c r="N27" s="14" t="s">
        <v>1</v>
      </c>
      <c r="O27" s="281" t="s">
        <v>0</v>
      </c>
      <c r="P27" s="281" t="s">
        <v>2</v>
      </c>
      <c r="R27" t="s">
        <v>26</v>
      </c>
      <c r="S27">
        <v>3</v>
      </c>
      <c r="T27">
        <v>6</v>
      </c>
      <c r="U27">
        <v>9</v>
      </c>
      <c r="Z27" s="29">
        <v>24</v>
      </c>
      <c r="AA27" s="281" t="s">
        <v>2</v>
      </c>
      <c r="AB27" s="281" t="s">
        <v>2</v>
      </c>
      <c r="AC27" s="281" t="s">
        <v>3</v>
      </c>
      <c r="AD27" s="281" t="s">
        <v>1</v>
      </c>
      <c r="AE27" s="281" t="s">
        <v>0</v>
      </c>
      <c r="AF27" s="281" t="s">
        <v>3</v>
      </c>
    </row>
    <row r="28" spans="2:32">
      <c r="B28" s="27">
        <v>25</v>
      </c>
      <c r="C28" s="13" t="s">
        <v>1</v>
      </c>
      <c r="D28" s="13" t="s">
        <v>1</v>
      </c>
      <c r="E28" s="13" t="s">
        <v>1</v>
      </c>
      <c r="F28" s="13" t="s">
        <v>0</v>
      </c>
      <c r="G28" s="91" t="s">
        <v>0</v>
      </c>
      <c r="H28" s="91" t="s">
        <v>1</v>
      </c>
      <c r="J28" s="29">
        <v>25</v>
      </c>
      <c r="K28" s="14" t="s">
        <v>0</v>
      </c>
      <c r="L28" s="14" t="s">
        <v>0</v>
      </c>
      <c r="M28" s="14" t="s">
        <v>0</v>
      </c>
      <c r="N28" s="14" t="s">
        <v>0</v>
      </c>
      <c r="O28" s="281" t="s">
        <v>2</v>
      </c>
      <c r="P28" s="281" t="s">
        <v>0</v>
      </c>
      <c r="R28" t="s">
        <v>27</v>
      </c>
      <c r="S28">
        <v>1</v>
      </c>
      <c r="T28">
        <v>2</v>
      </c>
      <c r="Z28" s="29">
        <v>25</v>
      </c>
      <c r="AA28" s="281" t="s">
        <v>3</v>
      </c>
      <c r="AB28" s="281" t="s">
        <v>2</v>
      </c>
      <c r="AC28" s="281" t="s">
        <v>3</v>
      </c>
      <c r="AD28" s="281" t="s">
        <v>0</v>
      </c>
      <c r="AE28" s="281" t="s">
        <v>3</v>
      </c>
      <c r="AF28" s="281" t="s">
        <v>0</v>
      </c>
    </row>
    <row r="29" spans="2:32">
      <c r="B29" s="27">
        <v>26</v>
      </c>
      <c r="C29" s="13" t="s">
        <v>0</v>
      </c>
      <c r="D29" s="13" t="s">
        <v>0</v>
      </c>
      <c r="E29" s="13" t="s">
        <v>1</v>
      </c>
      <c r="F29" s="13" t="s">
        <v>1</v>
      </c>
      <c r="G29" s="91" t="s">
        <v>1</v>
      </c>
      <c r="H29" s="91" t="s">
        <v>2</v>
      </c>
      <c r="J29" s="29">
        <v>26</v>
      </c>
      <c r="K29" s="14" t="s">
        <v>2</v>
      </c>
      <c r="L29" s="14" t="s">
        <v>2</v>
      </c>
      <c r="M29" s="14" t="s">
        <v>2</v>
      </c>
      <c r="N29" s="14" t="s">
        <v>3</v>
      </c>
      <c r="O29" s="281" t="s">
        <v>0</v>
      </c>
      <c r="P29" s="281" t="s">
        <v>0</v>
      </c>
      <c r="R29" t="s">
        <v>217</v>
      </c>
      <c r="S29">
        <v>1</v>
      </c>
      <c r="T29">
        <v>2</v>
      </c>
      <c r="U29">
        <v>4</v>
      </c>
      <c r="V29">
        <v>8</v>
      </c>
      <c r="W29" s="75">
        <v>16</v>
      </c>
      <c r="Z29" s="29">
        <v>26</v>
      </c>
      <c r="AA29" s="281" t="s">
        <v>0</v>
      </c>
      <c r="AB29" s="281" t="s">
        <v>3</v>
      </c>
      <c r="AC29" s="281" t="s">
        <v>1</v>
      </c>
      <c r="AD29" s="281" t="s">
        <v>1</v>
      </c>
      <c r="AE29" s="281" t="s">
        <v>0</v>
      </c>
      <c r="AF29" s="281" t="s">
        <v>1</v>
      </c>
    </row>
    <row r="30" spans="2:32">
      <c r="B30" s="27">
        <v>27</v>
      </c>
      <c r="C30" s="13" t="s">
        <v>3</v>
      </c>
      <c r="D30" s="13" t="s">
        <v>3</v>
      </c>
      <c r="E30" s="13" t="s">
        <v>0</v>
      </c>
      <c r="F30" s="13" t="s">
        <v>2</v>
      </c>
      <c r="G30" s="91" t="s">
        <v>3</v>
      </c>
      <c r="H30" s="91" t="s">
        <v>3</v>
      </c>
      <c r="J30" s="29">
        <v>27</v>
      </c>
      <c r="K30" s="14" t="s">
        <v>0</v>
      </c>
      <c r="L30" s="14" t="s">
        <v>3</v>
      </c>
      <c r="M30" s="14" t="s">
        <v>3</v>
      </c>
      <c r="N30" s="14" t="s">
        <v>1</v>
      </c>
      <c r="O30" s="281" t="s">
        <v>3</v>
      </c>
      <c r="P30" s="281" t="s">
        <v>1</v>
      </c>
      <c r="Z30" s="29">
        <v>27</v>
      </c>
      <c r="AA30" s="281" t="s">
        <v>1</v>
      </c>
      <c r="AB30" s="281" t="s">
        <v>3</v>
      </c>
      <c r="AC30" s="281" t="s">
        <v>1</v>
      </c>
      <c r="AD30" s="281" t="s">
        <v>3</v>
      </c>
      <c r="AE30" s="281" t="s">
        <v>1</v>
      </c>
      <c r="AF30" s="281" t="s">
        <v>2</v>
      </c>
    </row>
    <row r="31" spans="2:32">
      <c r="B31" s="27">
        <v>28</v>
      </c>
      <c r="C31" s="13" t="s">
        <v>1</v>
      </c>
      <c r="D31" s="13" t="s">
        <v>3</v>
      </c>
      <c r="E31" s="13" t="s">
        <v>0</v>
      </c>
      <c r="F31" s="13" t="s">
        <v>0</v>
      </c>
      <c r="G31" s="91" t="s">
        <v>0</v>
      </c>
      <c r="H31" s="91" t="s">
        <v>2</v>
      </c>
      <c r="J31" s="29">
        <v>28</v>
      </c>
      <c r="K31" s="14" t="s">
        <v>1</v>
      </c>
      <c r="L31" s="14" t="s">
        <v>2</v>
      </c>
      <c r="M31" s="14" t="s">
        <v>0</v>
      </c>
      <c r="N31" s="14" t="s">
        <v>2</v>
      </c>
      <c r="O31" s="281" t="s">
        <v>2</v>
      </c>
      <c r="P31" s="281" t="s">
        <v>3</v>
      </c>
      <c r="Z31" s="29">
        <v>28</v>
      </c>
      <c r="AA31" s="281" t="s">
        <v>1</v>
      </c>
      <c r="AB31" s="281" t="s">
        <v>0</v>
      </c>
      <c r="AC31" s="281" t="s">
        <v>3</v>
      </c>
      <c r="AD31" s="281" t="s">
        <v>3</v>
      </c>
      <c r="AE31" s="281" t="s">
        <v>1</v>
      </c>
      <c r="AF31" s="281" t="s">
        <v>2</v>
      </c>
    </row>
    <row r="32" spans="2:32">
      <c r="B32" s="27">
        <v>29</v>
      </c>
      <c r="C32" s="13" t="s">
        <v>2</v>
      </c>
      <c r="D32" s="13" t="s">
        <v>3</v>
      </c>
      <c r="E32" s="13" t="s">
        <v>3</v>
      </c>
      <c r="F32" s="13" t="s">
        <v>0</v>
      </c>
      <c r="G32" s="91" t="s">
        <v>3</v>
      </c>
      <c r="H32" s="91" t="s">
        <v>2</v>
      </c>
      <c r="J32" s="29">
        <v>29</v>
      </c>
      <c r="K32" s="14" t="s">
        <v>0</v>
      </c>
      <c r="L32" s="14" t="s">
        <v>1</v>
      </c>
      <c r="M32" s="14" t="s">
        <v>0</v>
      </c>
      <c r="N32" s="14" t="s">
        <v>3</v>
      </c>
      <c r="O32" s="281" t="s">
        <v>1</v>
      </c>
      <c r="P32" s="281" t="s">
        <v>0</v>
      </c>
      <c r="Z32" s="29">
        <v>29</v>
      </c>
      <c r="AA32" s="281" t="s">
        <v>3</v>
      </c>
      <c r="AB32" s="281" t="s">
        <v>0</v>
      </c>
      <c r="AC32" s="281" t="s">
        <v>2</v>
      </c>
      <c r="AD32" s="281" t="s">
        <v>0</v>
      </c>
      <c r="AE32" s="281" t="s">
        <v>0</v>
      </c>
      <c r="AF32" s="281" t="s">
        <v>0</v>
      </c>
    </row>
    <row r="33" spans="2:32">
      <c r="B33" s="27">
        <v>30</v>
      </c>
      <c r="C33" s="13" t="s">
        <v>2</v>
      </c>
      <c r="D33" s="13" t="s">
        <v>0</v>
      </c>
      <c r="E33" s="13" t="s">
        <v>3</v>
      </c>
      <c r="F33" s="13" t="s">
        <v>3</v>
      </c>
      <c r="G33" s="91" t="s">
        <v>0</v>
      </c>
      <c r="H33" s="91" t="s">
        <v>0</v>
      </c>
      <c r="J33" s="29">
        <v>30</v>
      </c>
      <c r="K33" s="14" t="s">
        <v>3</v>
      </c>
      <c r="L33" s="14" t="s">
        <v>1</v>
      </c>
      <c r="M33" s="14" t="s">
        <v>0</v>
      </c>
      <c r="N33" s="14" t="s">
        <v>0</v>
      </c>
      <c r="O33" s="281" t="s">
        <v>0</v>
      </c>
      <c r="P33" s="281" t="s">
        <v>1</v>
      </c>
      <c r="Z33" s="29">
        <v>30</v>
      </c>
      <c r="AA33" s="281" t="s">
        <v>3</v>
      </c>
      <c r="AB33" s="281" t="s">
        <v>2</v>
      </c>
      <c r="AC33" s="281" t="s">
        <v>2</v>
      </c>
      <c r="AD33" s="281" t="s">
        <v>3</v>
      </c>
      <c r="AE33" s="281" t="s">
        <v>0</v>
      </c>
      <c r="AF33" s="281" t="s">
        <v>3</v>
      </c>
    </row>
    <row r="34" spans="2:32">
      <c r="B34" s="27">
        <v>31</v>
      </c>
      <c r="C34" s="13" t="s">
        <v>3</v>
      </c>
      <c r="D34" s="13" t="s">
        <v>1</v>
      </c>
      <c r="E34" s="13" t="s">
        <v>0</v>
      </c>
      <c r="F34" s="13" t="s">
        <v>3</v>
      </c>
      <c r="G34" s="91" t="s">
        <v>3</v>
      </c>
      <c r="H34" s="91" t="s">
        <v>0</v>
      </c>
      <c r="J34" s="29">
        <v>31</v>
      </c>
      <c r="K34" s="14" t="s">
        <v>1</v>
      </c>
      <c r="L34" s="14" t="s">
        <v>3</v>
      </c>
      <c r="M34" s="14" t="s">
        <v>3</v>
      </c>
      <c r="N34" s="14" t="s">
        <v>1</v>
      </c>
      <c r="O34" s="281" t="s">
        <v>1</v>
      </c>
      <c r="P34" s="281" t="s">
        <v>2</v>
      </c>
      <c r="Z34" s="29">
        <v>31</v>
      </c>
      <c r="AA34" s="281" t="s">
        <v>6</v>
      </c>
      <c r="AB34" s="281">
        <v>14</v>
      </c>
      <c r="AC34" s="281" t="str">
        <f>CONCATENATE(AA44,",",AB44,)</f>
        <v>4,5</v>
      </c>
      <c r="AD34" s="281">
        <v>1160</v>
      </c>
      <c r="AE34" s="281">
        <v>1492</v>
      </c>
      <c r="AF34" s="281">
        <v>10</v>
      </c>
    </row>
    <row r="35" spans="2:32">
      <c r="B35" s="27">
        <v>32</v>
      </c>
      <c r="C35" s="13" t="s">
        <v>0</v>
      </c>
      <c r="D35" s="13" t="s">
        <v>0</v>
      </c>
      <c r="E35" s="13" t="s">
        <v>1</v>
      </c>
      <c r="F35" s="13" t="s">
        <v>3</v>
      </c>
      <c r="G35" s="91" t="s">
        <v>0</v>
      </c>
      <c r="H35" s="91" t="s">
        <v>3</v>
      </c>
      <c r="J35" s="29">
        <v>32</v>
      </c>
      <c r="K35" s="14" t="s">
        <v>2</v>
      </c>
      <c r="L35" s="14" t="s">
        <v>0</v>
      </c>
      <c r="M35" s="14" t="s">
        <v>0</v>
      </c>
      <c r="N35" s="14" t="s">
        <v>0</v>
      </c>
      <c r="O35" s="281" t="s">
        <v>3</v>
      </c>
      <c r="P35" s="281" t="s">
        <v>1</v>
      </c>
      <c r="Z35" s="29">
        <v>32</v>
      </c>
      <c r="AA35" s="42">
        <v>107</v>
      </c>
      <c r="AB35" s="15" t="s">
        <v>24</v>
      </c>
      <c r="AC35" s="40">
        <v>58.6</v>
      </c>
      <c r="AD35" s="42">
        <v>0.5</v>
      </c>
      <c r="AE35" s="42">
        <v>9.6666666666666661</v>
      </c>
      <c r="AF35" s="42">
        <v>31</v>
      </c>
    </row>
    <row r="36" spans="2:32">
      <c r="B36" s="27">
        <v>33</v>
      </c>
      <c r="C36" s="13" t="s">
        <v>2</v>
      </c>
      <c r="D36" s="13" t="s">
        <v>0</v>
      </c>
      <c r="E36" s="13" t="s">
        <v>1</v>
      </c>
      <c r="F36" s="13" t="s">
        <v>3</v>
      </c>
      <c r="G36" s="91" t="s">
        <v>1</v>
      </c>
      <c r="H36" s="91" t="s">
        <v>0</v>
      </c>
      <c r="J36" s="29">
        <v>33</v>
      </c>
      <c r="K36" s="14" t="s">
        <v>2</v>
      </c>
      <c r="L36" s="14" t="s">
        <v>3</v>
      </c>
      <c r="M36" s="14" t="s">
        <v>1</v>
      </c>
      <c r="N36" s="14" t="s">
        <v>2</v>
      </c>
      <c r="O36" s="281" t="s">
        <v>2</v>
      </c>
      <c r="P36" s="281" t="s">
        <v>3</v>
      </c>
      <c r="Z36" s="29">
        <v>33</v>
      </c>
      <c r="AA36" s="40">
        <v>0.625</v>
      </c>
      <c r="AB36" s="16">
        <v>11</v>
      </c>
      <c r="AC36" s="16">
        <v>9</v>
      </c>
      <c r="AD36" s="40">
        <v>4.55</v>
      </c>
      <c r="AE36" s="40">
        <v>7</v>
      </c>
      <c r="AF36" s="40" t="str">
        <f>CONCATENATE(AA47,",",AB47,",",AC47,",",AD47,",",AE47)</f>
        <v>97,98,99,100,101</v>
      </c>
    </row>
    <row r="37" spans="2:32">
      <c r="B37" s="27">
        <v>34</v>
      </c>
      <c r="C37" s="13" t="s">
        <v>1</v>
      </c>
      <c r="D37" s="13" t="s">
        <v>2</v>
      </c>
      <c r="E37" s="13" t="s">
        <v>3</v>
      </c>
      <c r="F37" s="13" t="s">
        <v>2</v>
      </c>
      <c r="G37" s="91" t="s">
        <v>0</v>
      </c>
      <c r="H37" s="91" t="s">
        <v>2</v>
      </c>
      <c r="J37" s="29">
        <v>34</v>
      </c>
      <c r="K37" s="14" t="s">
        <v>2</v>
      </c>
      <c r="L37" s="14" t="s">
        <v>3</v>
      </c>
      <c r="M37" s="14" t="s">
        <v>3</v>
      </c>
      <c r="N37" s="14" t="s">
        <v>1</v>
      </c>
      <c r="O37" s="281" t="s">
        <v>1</v>
      </c>
      <c r="P37" s="281" t="s">
        <v>0</v>
      </c>
      <c r="Z37" s="29">
        <v>34</v>
      </c>
      <c r="AA37" s="281">
        <v>96</v>
      </c>
      <c r="AB37" s="281">
        <v>105</v>
      </c>
      <c r="AC37" s="41">
        <v>0.625</v>
      </c>
      <c r="AD37" s="281">
        <v>150</v>
      </c>
      <c r="AE37" s="281">
        <v>9</v>
      </c>
      <c r="AF37" s="281">
        <v>5</v>
      </c>
    </row>
    <row r="38" spans="2:32">
      <c r="B38" s="27">
        <v>35</v>
      </c>
      <c r="C38" s="13" t="s">
        <v>0</v>
      </c>
      <c r="D38" s="13" t="s">
        <v>3</v>
      </c>
      <c r="E38" s="13" t="s">
        <v>1</v>
      </c>
      <c r="F38" s="13" t="s">
        <v>3</v>
      </c>
      <c r="G38" s="91" t="s">
        <v>2</v>
      </c>
      <c r="H38" s="91" t="s">
        <v>3</v>
      </c>
      <c r="J38" s="29">
        <v>35</v>
      </c>
      <c r="K38" s="14" t="s">
        <v>2</v>
      </c>
      <c r="L38" s="14" t="s">
        <v>2</v>
      </c>
      <c r="M38" s="14" t="s">
        <v>0</v>
      </c>
      <c r="N38" s="14" t="s">
        <v>1</v>
      </c>
      <c r="O38" s="281" t="s">
        <v>0</v>
      </c>
      <c r="P38" s="281" t="s">
        <v>0</v>
      </c>
      <c r="Z38" s="29">
        <v>35</v>
      </c>
      <c r="AA38" s="281">
        <v>6</v>
      </c>
      <c r="AB38" s="281">
        <v>15</v>
      </c>
      <c r="AC38" s="281">
        <v>50</v>
      </c>
      <c r="AD38" s="41">
        <v>2.25</v>
      </c>
      <c r="AE38" s="41">
        <v>13</v>
      </c>
      <c r="AF38" s="41">
        <v>1.25</v>
      </c>
    </row>
    <row r="39" spans="2:32">
      <c r="B39" s="27">
        <v>36</v>
      </c>
      <c r="C39" s="13" t="s">
        <v>3</v>
      </c>
      <c r="D39" s="13" t="s">
        <v>0</v>
      </c>
      <c r="E39" s="13" t="s">
        <v>2</v>
      </c>
      <c r="F39" s="13" t="s">
        <v>0</v>
      </c>
      <c r="G39" s="91" t="s">
        <v>0</v>
      </c>
      <c r="H39" s="91" t="s">
        <v>3</v>
      </c>
      <c r="J39" s="29">
        <v>36</v>
      </c>
      <c r="K39" s="14" t="s">
        <v>0</v>
      </c>
      <c r="L39" s="14" t="s">
        <v>3</v>
      </c>
      <c r="M39" s="14" t="s">
        <v>1</v>
      </c>
      <c r="N39" s="14" t="s">
        <v>0</v>
      </c>
      <c r="O39" s="281" t="s">
        <v>0</v>
      </c>
      <c r="P39" s="281" t="s">
        <v>3</v>
      </c>
      <c r="Z39" s="29">
        <v>36</v>
      </c>
      <c r="AA39" s="281">
        <v>3</v>
      </c>
      <c r="AB39" s="281">
        <v>32</v>
      </c>
      <c r="AC39" s="281">
        <v>750</v>
      </c>
      <c r="AD39" s="281" t="str">
        <f>CONCATENATE(AA45,",",AB45,",",AC45,",",AD45,",",AE45,",", AF45)</f>
        <v>29,30,31,32,33,34</v>
      </c>
      <c r="AE39" s="281">
        <v>80</v>
      </c>
      <c r="AF39" s="281">
        <v>2.6</v>
      </c>
    </row>
    <row r="40" spans="2:32">
      <c r="B40" s="27">
        <v>37</v>
      </c>
      <c r="C40" s="13" t="s">
        <v>1</v>
      </c>
      <c r="D40" s="13" t="s">
        <v>0</v>
      </c>
      <c r="E40" s="13" t="s">
        <v>3</v>
      </c>
      <c r="F40" s="13" t="s">
        <v>3</v>
      </c>
      <c r="G40" s="91" t="s">
        <v>1</v>
      </c>
      <c r="H40" s="91" t="s">
        <v>2</v>
      </c>
      <c r="J40" s="29">
        <v>37</v>
      </c>
      <c r="K40" s="14" t="s">
        <v>3</v>
      </c>
      <c r="L40" s="14" t="s">
        <v>2</v>
      </c>
      <c r="M40" s="14" t="s">
        <v>3</v>
      </c>
      <c r="N40" s="14" t="s">
        <v>3</v>
      </c>
      <c r="O40" s="281" t="s">
        <v>3</v>
      </c>
      <c r="P40" s="281" t="s">
        <v>2</v>
      </c>
      <c r="Z40" s="29">
        <v>37</v>
      </c>
      <c r="AA40" s="281">
        <v>1.02</v>
      </c>
      <c r="AB40" s="281">
        <v>3284</v>
      </c>
      <c r="AC40" s="281">
        <v>7</v>
      </c>
      <c r="AD40" s="281">
        <v>0.72</v>
      </c>
      <c r="AE40" s="281" t="str">
        <f>CONCATENATE(AA46,",",AB46,",",AC46,",",AD46)</f>
        <v>43,43.5,44,87/2</v>
      </c>
      <c r="AF40" s="281">
        <v>30</v>
      </c>
    </row>
    <row r="41" spans="2:32">
      <c r="B41" s="27">
        <v>38</v>
      </c>
      <c r="C41" s="13" t="s">
        <v>1</v>
      </c>
      <c r="D41" s="13" t="s">
        <v>3</v>
      </c>
      <c r="E41" s="13" t="s">
        <v>1</v>
      </c>
      <c r="F41" s="13" t="s">
        <v>3</v>
      </c>
      <c r="G41" s="91" t="s">
        <v>2</v>
      </c>
      <c r="H41" s="91" t="s">
        <v>3</v>
      </c>
      <c r="J41" s="29">
        <v>38</v>
      </c>
      <c r="K41" s="14" t="s">
        <v>1</v>
      </c>
      <c r="L41" s="14" t="s">
        <v>0</v>
      </c>
      <c r="M41" s="14" t="s">
        <v>1</v>
      </c>
      <c r="N41" s="14" t="s">
        <v>2</v>
      </c>
      <c r="O41" s="281" t="s">
        <v>1</v>
      </c>
      <c r="P41" s="281" t="s">
        <v>3</v>
      </c>
      <c r="Z41" s="29">
        <v>38</v>
      </c>
      <c r="AA41" s="281">
        <v>6.11</v>
      </c>
      <c r="AB41" s="281">
        <v>7500</v>
      </c>
      <c r="AC41" s="281">
        <v>60</v>
      </c>
      <c r="AD41" s="281">
        <v>134</v>
      </c>
      <c r="AE41" s="281">
        <v>6</v>
      </c>
      <c r="AF41" s="281">
        <v>8</v>
      </c>
    </row>
    <row r="42" spans="2:32">
      <c r="B42" s="27">
        <v>39</v>
      </c>
      <c r="C42" s="13" t="s">
        <v>0</v>
      </c>
      <c r="D42" s="13" t="s">
        <v>1</v>
      </c>
      <c r="E42" s="13" t="s">
        <v>2</v>
      </c>
      <c r="F42" s="13" t="s">
        <v>3</v>
      </c>
      <c r="G42" s="91" t="s">
        <v>0</v>
      </c>
      <c r="H42" s="91" t="s">
        <v>1</v>
      </c>
      <c r="J42" s="29">
        <v>39</v>
      </c>
      <c r="K42" s="14" t="s">
        <v>2</v>
      </c>
      <c r="L42" s="14" t="s">
        <v>1</v>
      </c>
      <c r="M42" s="14" t="s">
        <v>1</v>
      </c>
      <c r="N42" s="14" t="s">
        <v>1</v>
      </c>
      <c r="O42" s="281" t="s">
        <v>3</v>
      </c>
      <c r="P42" s="281" t="s">
        <v>3</v>
      </c>
    </row>
    <row r="43" spans="2:32">
      <c r="B43" s="27">
        <v>40</v>
      </c>
      <c r="C43" s="13" t="s">
        <v>1</v>
      </c>
      <c r="D43" s="13" t="s">
        <v>2</v>
      </c>
      <c r="E43" s="13" t="s">
        <v>3</v>
      </c>
      <c r="F43" s="13" t="s">
        <v>2</v>
      </c>
      <c r="G43" s="91" t="s">
        <v>3</v>
      </c>
      <c r="H43" s="91" t="s">
        <v>1</v>
      </c>
      <c r="J43" s="29">
        <v>40</v>
      </c>
      <c r="K43" s="14" t="s">
        <v>0</v>
      </c>
      <c r="L43" s="14" t="s">
        <v>3</v>
      </c>
      <c r="M43" s="14" t="s">
        <v>0</v>
      </c>
      <c r="N43" s="14" t="s">
        <v>0</v>
      </c>
      <c r="O43" s="281" t="s">
        <v>0</v>
      </c>
      <c r="P43" s="281" t="s">
        <v>1</v>
      </c>
      <c r="Z43" s="43" t="s">
        <v>25</v>
      </c>
    </row>
    <row r="44" spans="2:32">
      <c r="B44" s="27">
        <v>41</v>
      </c>
      <c r="C44" s="13" t="s">
        <v>0</v>
      </c>
      <c r="D44" s="13" t="s">
        <v>0</v>
      </c>
      <c r="E44" s="13" t="s">
        <v>2</v>
      </c>
      <c r="F44" s="13" t="s">
        <v>0</v>
      </c>
      <c r="G44" s="91" t="s">
        <v>3</v>
      </c>
      <c r="H44" s="91" t="s">
        <v>0</v>
      </c>
      <c r="J44" s="29">
        <v>41</v>
      </c>
      <c r="K44" s="14" t="s">
        <v>0</v>
      </c>
      <c r="L44" s="14" t="s">
        <v>3</v>
      </c>
      <c r="M44" s="14" t="s">
        <v>3</v>
      </c>
      <c r="N44" s="14" t="s">
        <v>3</v>
      </c>
      <c r="O44" s="281" t="s">
        <v>3</v>
      </c>
      <c r="P44" s="281" t="s">
        <v>2</v>
      </c>
      <c r="Z44" t="s">
        <v>28</v>
      </c>
      <c r="AA44">
        <v>4</v>
      </c>
      <c r="AB44">
        <v>5</v>
      </c>
    </row>
    <row r="45" spans="2:32">
      <c r="B45" s="27">
        <v>42</v>
      </c>
      <c r="C45" s="13" t="s">
        <v>0</v>
      </c>
      <c r="D45" s="13" t="s">
        <v>3</v>
      </c>
      <c r="E45" s="13" t="s">
        <v>1</v>
      </c>
      <c r="F45" s="13" t="s">
        <v>1</v>
      </c>
      <c r="G45" s="91" t="s">
        <v>1</v>
      </c>
      <c r="H45" s="91" t="s">
        <v>3</v>
      </c>
      <c r="J45" s="29">
        <v>42</v>
      </c>
      <c r="K45" s="14" t="s">
        <v>1</v>
      </c>
      <c r="L45" s="14" t="s">
        <v>1</v>
      </c>
      <c r="M45" s="14" t="s">
        <v>2</v>
      </c>
      <c r="N45" s="14" t="s">
        <v>3</v>
      </c>
      <c r="O45" s="281" t="s">
        <v>2</v>
      </c>
      <c r="P45" s="281" t="s">
        <v>3</v>
      </c>
      <c r="Z45" t="s">
        <v>29</v>
      </c>
      <c r="AA45">
        <v>29</v>
      </c>
      <c r="AB45">
        <v>30</v>
      </c>
      <c r="AC45">
        <v>31</v>
      </c>
      <c r="AD45">
        <v>32</v>
      </c>
      <c r="AE45">
        <v>33</v>
      </c>
      <c r="AF45">
        <v>34</v>
      </c>
    </row>
    <row r="46" spans="2:32">
      <c r="B46" s="27">
        <v>43</v>
      </c>
      <c r="C46" s="13" t="s">
        <v>2</v>
      </c>
      <c r="D46" s="13" t="s">
        <v>1</v>
      </c>
      <c r="E46" s="13" t="s">
        <v>1</v>
      </c>
      <c r="F46" s="13" t="s">
        <v>0</v>
      </c>
      <c r="G46" s="91" t="s">
        <v>3</v>
      </c>
      <c r="H46" s="91" t="s">
        <v>1</v>
      </c>
      <c r="J46" s="29">
        <v>43</v>
      </c>
      <c r="K46" s="14" t="s">
        <v>3</v>
      </c>
      <c r="L46" s="14" t="s">
        <v>1</v>
      </c>
      <c r="M46" s="14" t="s">
        <v>3</v>
      </c>
      <c r="N46" s="14" t="s">
        <v>2</v>
      </c>
      <c r="O46" s="281" t="s">
        <v>2</v>
      </c>
      <c r="P46" s="281" t="s">
        <v>2</v>
      </c>
      <c r="Z46" t="s">
        <v>215</v>
      </c>
      <c r="AA46">
        <v>43</v>
      </c>
      <c r="AB46">
        <v>43.5</v>
      </c>
      <c r="AC46">
        <v>44</v>
      </c>
      <c r="AD46" t="s">
        <v>216</v>
      </c>
    </row>
    <row r="47" spans="2:32">
      <c r="B47" s="27">
        <v>44</v>
      </c>
      <c r="C47" s="13" t="s">
        <v>2</v>
      </c>
      <c r="D47" s="13" t="s">
        <v>0</v>
      </c>
      <c r="E47" s="13" t="s">
        <v>3</v>
      </c>
      <c r="F47" s="13" t="s">
        <v>2</v>
      </c>
      <c r="G47" s="91" t="s">
        <v>3</v>
      </c>
      <c r="H47" s="91" t="s">
        <v>2</v>
      </c>
      <c r="J47" s="29">
        <v>44</v>
      </c>
      <c r="K47" s="14" t="s">
        <v>3</v>
      </c>
      <c r="L47" s="14" t="s">
        <v>3</v>
      </c>
      <c r="M47" s="14" t="s">
        <v>3</v>
      </c>
      <c r="N47" s="14" t="s">
        <v>0</v>
      </c>
      <c r="O47" s="281" t="s">
        <v>1</v>
      </c>
      <c r="P47" s="281" t="s">
        <v>1</v>
      </c>
      <c r="Z47" t="s">
        <v>218</v>
      </c>
      <c r="AA47">
        <v>97</v>
      </c>
      <c r="AB47">
        <v>98</v>
      </c>
      <c r="AC47">
        <v>99</v>
      </c>
      <c r="AD47">
        <v>100</v>
      </c>
      <c r="AE47">
        <v>101</v>
      </c>
    </row>
    <row r="48" spans="2:32">
      <c r="B48" s="27">
        <v>45</v>
      </c>
      <c r="C48" s="13" t="s">
        <v>3</v>
      </c>
      <c r="D48" s="13" t="s">
        <v>3</v>
      </c>
      <c r="E48" s="13" t="s">
        <v>3</v>
      </c>
      <c r="F48" s="13" t="s">
        <v>3</v>
      </c>
      <c r="G48" s="91" t="s">
        <v>1</v>
      </c>
      <c r="H48" s="91" t="s">
        <v>1</v>
      </c>
    </row>
    <row r="49" spans="2:8">
      <c r="B49" s="27">
        <v>46</v>
      </c>
      <c r="C49" s="13" t="s">
        <v>1</v>
      </c>
      <c r="D49" s="13" t="s">
        <v>1</v>
      </c>
      <c r="E49" s="13" t="s">
        <v>1</v>
      </c>
      <c r="F49" s="13" t="s">
        <v>2</v>
      </c>
      <c r="G49" s="91" t="s">
        <v>0</v>
      </c>
      <c r="H49" s="91" t="s">
        <v>3</v>
      </c>
    </row>
    <row r="50" spans="2:8">
      <c r="B50" s="27">
        <v>47</v>
      </c>
      <c r="C50" s="13" t="s">
        <v>0</v>
      </c>
      <c r="D50" s="13" t="s">
        <v>2</v>
      </c>
      <c r="E50" s="13" t="s">
        <v>0</v>
      </c>
      <c r="F50" s="13" t="s">
        <v>3</v>
      </c>
      <c r="G50" s="91" t="s">
        <v>2</v>
      </c>
      <c r="H50" s="91" t="s">
        <v>0</v>
      </c>
    </row>
    <row r="51" spans="2:8">
      <c r="B51" s="27">
        <v>48</v>
      </c>
      <c r="C51" s="13" t="s">
        <v>2</v>
      </c>
      <c r="D51" s="13" t="s">
        <v>0</v>
      </c>
      <c r="E51" s="13" t="s">
        <v>0</v>
      </c>
      <c r="F51" s="13" t="s">
        <v>1</v>
      </c>
      <c r="G51" s="91" t="s">
        <v>1</v>
      </c>
      <c r="H51" s="91" t="s">
        <v>0</v>
      </c>
    </row>
    <row r="52" spans="2:8">
      <c r="B52" s="27">
        <v>49</v>
      </c>
      <c r="C52" s="13" t="s">
        <v>3</v>
      </c>
      <c r="D52" s="13" t="s">
        <v>3</v>
      </c>
      <c r="E52" s="13" t="s">
        <v>2</v>
      </c>
      <c r="F52" s="13" t="s">
        <v>3</v>
      </c>
      <c r="G52" s="91" t="s">
        <v>1</v>
      </c>
      <c r="H52" s="91" t="s">
        <v>3</v>
      </c>
    </row>
    <row r="53" spans="2:8">
      <c r="B53" s="27">
        <v>50</v>
      </c>
      <c r="C53" s="13" t="s">
        <v>0</v>
      </c>
      <c r="D53" s="13" t="s">
        <v>3</v>
      </c>
      <c r="E53" s="13" t="s">
        <v>0</v>
      </c>
      <c r="F53" s="13" t="s">
        <v>1</v>
      </c>
      <c r="G53" s="91" t="s">
        <v>2</v>
      </c>
      <c r="H53" s="91" t="s">
        <v>0</v>
      </c>
    </row>
    <row r="54" spans="2:8">
      <c r="B54" s="27">
        <v>51</v>
      </c>
      <c r="C54" s="13" t="s">
        <v>3</v>
      </c>
      <c r="D54" s="13" t="s">
        <v>3</v>
      </c>
      <c r="E54" s="13" t="s">
        <v>3</v>
      </c>
      <c r="F54" s="13" t="s">
        <v>0</v>
      </c>
      <c r="G54" s="91" t="s">
        <v>2</v>
      </c>
      <c r="H54" s="91" t="s">
        <v>3</v>
      </c>
    </row>
    <row r="55" spans="2:8">
      <c r="B55" s="27">
        <v>52</v>
      </c>
      <c r="C55" s="13" t="s">
        <v>2</v>
      </c>
      <c r="D55" s="13" t="s">
        <v>2</v>
      </c>
      <c r="E55" s="13" t="s">
        <v>3</v>
      </c>
      <c r="F55" s="13" t="s">
        <v>2</v>
      </c>
      <c r="G55" s="91" t="s">
        <v>0</v>
      </c>
      <c r="H55" s="91" t="s">
        <v>0</v>
      </c>
    </row>
  </sheetData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8"/>
  <dimension ref="A1:M61"/>
  <sheetViews>
    <sheetView workbookViewId="0">
      <selection activeCell="A2" sqref="A2:M61"/>
    </sheetView>
  </sheetViews>
  <sheetFormatPr defaultRowHeight="15"/>
  <cols>
    <col min="1" max="3" width="11.140625" style="126" customWidth="1"/>
    <col min="4" max="4" width="11.28515625" style="126" customWidth="1"/>
    <col min="5" max="5" width="10.85546875" customWidth="1"/>
    <col min="11" max="11" width="10.28515625" customWidth="1"/>
  </cols>
  <sheetData>
    <row r="1" spans="1:13" s="75" customFormat="1" ht="36">
      <c r="A1" s="128" t="s">
        <v>8</v>
      </c>
      <c r="B1" s="126"/>
      <c r="C1" s="126"/>
      <c r="D1" s="126"/>
    </row>
    <row r="2" spans="1:13" ht="42.75" customHeight="1">
      <c r="A2" s="92" t="s">
        <v>126</v>
      </c>
      <c r="B2" s="92" t="s">
        <v>133</v>
      </c>
      <c r="C2" s="92" t="s">
        <v>134</v>
      </c>
      <c r="D2" s="92" t="s">
        <v>135</v>
      </c>
      <c r="E2" s="92" t="s">
        <v>61</v>
      </c>
      <c r="F2" s="92" t="s">
        <v>65</v>
      </c>
      <c r="G2" s="92" t="s">
        <v>71</v>
      </c>
      <c r="H2" s="92" t="s">
        <v>96</v>
      </c>
      <c r="I2" s="92" t="s">
        <v>141</v>
      </c>
      <c r="J2" s="92" t="s">
        <v>139</v>
      </c>
      <c r="K2" s="92" t="s">
        <v>140</v>
      </c>
      <c r="L2" s="92" t="s">
        <v>143</v>
      </c>
      <c r="M2" s="92" t="s">
        <v>144</v>
      </c>
    </row>
    <row r="3" spans="1:13">
      <c r="A3" s="127">
        <v>0</v>
      </c>
      <c r="B3" s="127">
        <v>200</v>
      </c>
      <c r="C3" s="127">
        <v>10</v>
      </c>
      <c r="D3" s="127">
        <v>10</v>
      </c>
      <c r="E3" s="127">
        <v>1</v>
      </c>
      <c r="F3" s="127">
        <v>1</v>
      </c>
      <c r="G3" s="127">
        <v>1</v>
      </c>
      <c r="H3" s="127">
        <v>1</v>
      </c>
      <c r="I3" s="127">
        <v>1</v>
      </c>
      <c r="J3" s="127">
        <v>1</v>
      </c>
      <c r="K3" s="127">
        <v>1</v>
      </c>
      <c r="L3" s="127">
        <v>10</v>
      </c>
      <c r="M3" s="127">
        <v>10</v>
      </c>
    </row>
    <row r="4" spans="1:13">
      <c r="A4" s="127">
        <v>1</v>
      </c>
      <c r="B4" s="127">
        <v>200</v>
      </c>
      <c r="C4" s="127">
        <v>10</v>
      </c>
      <c r="D4" s="127">
        <v>10</v>
      </c>
      <c r="E4" s="127">
        <v>1</v>
      </c>
      <c r="F4" s="127">
        <v>1</v>
      </c>
      <c r="G4" s="127">
        <v>1</v>
      </c>
      <c r="H4" s="127">
        <v>1</v>
      </c>
      <c r="I4" s="127">
        <v>3</v>
      </c>
      <c r="J4" s="127">
        <v>1</v>
      </c>
      <c r="K4" s="127">
        <v>1</v>
      </c>
      <c r="L4" s="127">
        <v>10</v>
      </c>
      <c r="M4" s="127">
        <v>11</v>
      </c>
    </row>
    <row r="5" spans="1:13">
      <c r="A5" s="127">
        <v>2</v>
      </c>
      <c r="B5" s="127">
        <v>210</v>
      </c>
      <c r="C5" s="127">
        <v>10</v>
      </c>
      <c r="D5" s="127">
        <v>10</v>
      </c>
      <c r="E5" s="127">
        <v>1</v>
      </c>
      <c r="F5" s="127">
        <v>1</v>
      </c>
      <c r="G5" s="127">
        <v>2</v>
      </c>
      <c r="H5" s="127">
        <v>2</v>
      </c>
      <c r="I5" s="127">
        <v>5</v>
      </c>
      <c r="J5" s="127">
        <v>2</v>
      </c>
      <c r="K5" s="127">
        <v>2</v>
      </c>
      <c r="L5" s="127">
        <v>11</v>
      </c>
      <c r="M5" s="127">
        <v>12</v>
      </c>
    </row>
    <row r="6" spans="1:13">
      <c r="A6" s="127">
        <v>3</v>
      </c>
      <c r="B6" s="127">
        <v>230</v>
      </c>
      <c r="C6" s="127">
        <v>11</v>
      </c>
      <c r="D6" s="127">
        <v>10</v>
      </c>
      <c r="E6" s="127">
        <v>2</v>
      </c>
      <c r="F6" s="127">
        <v>2</v>
      </c>
      <c r="G6" s="127">
        <v>3</v>
      </c>
      <c r="H6" s="127">
        <v>3</v>
      </c>
      <c r="I6" s="127">
        <v>6</v>
      </c>
      <c r="J6" s="127">
        <v>3</v>
      </c>
      <c r="K6" s="127">
        <v>3</v>
      </c>
      <c r="L6" s="127">
        <v>12</v>
      </c>
      <c r="M6" s="127">
        <v>13</v>
      </c>
    </row>
    <row r="7" spans="1:13">
      <c r="A7" s="127">
        <v>4</v>
      </c>
      <c r="B7" s="127">
        <v>240</v>
      </c>
      <c r="C7" s="127">
        <v>12</v>
      </c>
      <c r="D7" s="127">
        <v>11</v>
      </c>
      <c r="E7" s="127">
        <v>3</v>
      </c>
      <c r="F7" s="127">
        <v>2</v>
      </c>
      <c r="G7" s="127">
        <v>4</v>
      </c>
      <c r="H7" s="127">
        <v>4</v>
      </c>
      <c r="I7" s="127">
        <v>7</v>
      </c>
      <c r="J7" s="127">
        <v>4</v>
      </c>
      <c r="K7" s="127">
        <v>4</v>
      </c>
      <c r="L7" s="127">
        <v>14</v>
      </c>
      <c r="M7" s="127">
        <v>14</v>
      </c>
    </row>
    <row r="8" spans="1:13">
      <c r="A8" s="127">
        <v>5</v>
      </c>
      <c r="B8" s="127">
        <v>260</v>
      </c>
      <c r="C8" s="127">
        <v>13</v>
      </c>
      <c r="D8" s="127">
        <v>12</v>
      </c>
      <c r="E8" s="127">
        <v>4</v>
      </c>
      <c r="F8" s="127">
        <v>3</v>
      </c>
      <c r="G8" s="127">
        <v>5</v>
      </c>
      <c r="H8" s="127">
        <v>5</v>
      </c>
      <c r="I8" s="127">
        <v>8</v>
      </c>
      <c r="J8" s="127">
        <v>5</v>
      </c>
      <c r="K8" s="127">
        <v>5</v>
      </c>
      <c r="L8" s="127">
        <v>15</v>
      </c>
      <c r="M8" s="127">
        <v>15</v>
      </c>
    </row>
    <row r="9" spans="1:13">
      <c r="A9" s="127">
        <v>6</v>
      </c>
      <c r="B9" s="127">
        <v>280</v>
      </c>
      <c r="C9" s="127">
        <v>14</v>
      </c>
      <c r="D9" s="127">
        <v>13</v>
      </c>
      <c r="E9" s="127">
        <v>5</v>
      </c>
      <c r="F9" s="127">
        <v>4</v>
      </c>
      <c r="G9" s="127">
        <v>6</v>
      </c>
      <c r="H9" s="127">
        <v>6</v>
      </c>
      <c r="I9" s="127">
        <v>9</v>
      </c>
      <c r="J9" s="127">
        <v>6</v>
      </c>
      <c r="K9" s="127">
        <v>6</v>
      </c>
      <c r="L9" s="127">
        <v>16</v>
      </c>
      <c r="M9" s="127">
        <v>16</v>
      </c>
    </row>
    <row r="10" spans="1:13">
      <c r="A10" s="127">
        <v>7</v>
      </c>
      <c r="B10" s="127">
        <v>290</v>
      </c>
      <c r="C10" s="127">
        <v>15</v>
      </c>
      <c r="D10" s="127">
        <v>13</v>
      </c>
      <c r="E10" s="127">
        <v>6</v>
      </c>
      <c r="F10" s="127">
        <v>5</v>
      </c>
      <c r="G10" s="127">
        <v>6</v>
      </c>
      <c r="H10" s="127">
        <v>7</v>
      </c>
      <c r="I10" s="127">
        <v>10</v>
      </c>
      <c r="J10" s="127">
        <v>6</v>
      </c>
      <c r="K10" s="127">
        <v>7</v>
      </c>
      <c r="L10" s="127">
        <v>17</v>
      </c>
      <c r="M10" s="127">
        <v>17</v>
      </c>
    </row>
    <row r="11" spans="1:13">
      <c r="A11" s="127">
        <v>8</v>
      </c>
      <c r="B11" s="127">
        <v>310</v>
      </c>
      <c r="C11" s="127">
        <v>15</v>
      </c>
      <c r="D11" s="127">
        <v>14</v>
      </c>
      <c r="E11" s="127">
        <v>6</v>
      </c>
      <c r="F11" s="127">
        <v>6</v>
      </c>
      <c r="G11" s="127">
        <v>7</v>
      </c>
      <c r="H11" s="127">
        <v>8</v>
      </c>
      <c r="I11" s="127">
        <v>11</v>
      </c>
      <c r="J11" s="127">
        <v>7</v>
      </c>
      <c r="K11" s="127">
        <v>8</v>
      </c>
      <c r="L11" s="127">
        <v>18</v>
      </c>
      <c r="M11" s="127">
        <v>18</v>
      </c>
    </row>
    <row r="12" spans="1:13">
      <c r="A12" s="127">
        <v>9</v>
      </c>
      <c r="B12" s="127">
        <v>320</v>
      </c>
      <c r="C12" s="127">
        <v>16</v>
      </c>
      <c r="D12" s="127">
        <v>15</v>
      </c>
      <c r="E12" s="127">
        <v>7</v>
      </c>
      <c r="F12" s="127">
        <v>6</v>
      </c>
      <c r="G12" s="127">
        <v>8</v>
      </c>
      <c r="H12" s="127">
        <v>8</v>
      </c>
      <c r="I12" s="127">
        <v>11</v>
      </c>
      <c r="J12" s="127">
        <v>8</v>
      </c>
      <c r="K12" s="127">
        <v>8</v>
      </c>
      <c r="L12" s="127">
        <v>20</v>
      </c>
      <c r="M12" s="127">
        <v>19</v>
      </c>
    </row>
    <row r="13" spans="1:13">
      <c r="A13" s="127">
        <v>10</v>
      </c>
      <c r="B13" s="127">
        <v>330</v>
      </c>
      <c r="C13" s="127">
        <v>17</v>
      </c>
      <c r="D13" s="127">
        <v>16</v>
      </c>
      <c r="E13" s="127">
        <v>7</v>
      </c>
      <c r="F13" s="127">
        <v>7</v>
      </c>
      <c r="G13" s="127">
        <v>8</v>
      </c>
      <c r="H13" s="127">
        <v>9</v>
      </c>
      <c r="I13" s="127">
        <v>12</v>
      </c>
      <c r="J13" s="127">
        <v>8</v>
      </c>
      <c r="K13" s="127">
        <v>9</v>
      </c>
      <c r="L13" s="127">
        <v>21</v>
      </c>
      <c r="M13" s="127">
        <v>20</v>
      </c>
    </row>
    <row r="14" spans="1:13">
      <c r="A14" s="127">
        <v>11</v>
      </c>
      <c r="B14" s="127">
        <v>340</v>
      </c>
      <c r="C14" s="127">
        <v>17</v>
      </c>
      <c r="D14" s="127">
        <v>16</v>
      </c>
      <c r="E14" s="127">
        <v>8</v>
      </c>
      <c r="F14" s="127">
        <v>7</v>
      </c>
      <c r="G14" s="127">
        <v>9</v>
      </c>
      <c r="H14" s="127">
        <v>10</v>
      </c>
      <c r="I14" s="127">
        <v>12</v>
      </c>
      <c r="J14" s="127">
        <v>9</v>
      </c>
      <c r="K14" s="127">
        <v>10</v>
      </c>
      <c r="L14" s="127">
        <v>22</v>
      </c>
      <c r="M14" s="127">
        <v>20</v>
      </c>
    </row>
    <row r="15" spans="1:13">
      <c r="A15" s="127">
        <v>12</v>
      </c>
      <c r="B15" s="127">
        <v>360</v>
      </c>
      <c r="C15" s="127">
        <v>18</v>
      </c>
      <c r="D15" s="127">
        <v>17</v>
      </c>
      <c r="E15" s="127">
        <v>8</v>
      </c>
      <c r="F15" s="127">
        <v>8</v>
      </c>
      <c r="G15" s="127">
        <v>9</v>
      </c>
      <c r="H15" s="127">
        <v>10</v>
      </c>
      <c r="I15" s="127">
        <v>13</v>
      </c>
      <c r="J15" s="127">
        <v>9</v>
      </c>
      <c r="K15" s="127">
        <v>10</v>
      </c>
      <c r="L15" s="127">
        <v>23</v>
      </c>
      <c r="M15" s="127">
        <v>21</v>
      </c>
    </row>
    <row r="16" spans="1:13">
      <c r="A16" s="127">
        <v>13</v>
      </c>
      <c r="B16" s="127">
        <v>370</v>
      </c>
      <c r="C16" s="127">
        <v>19</v>
      </c>
      <c r="D16" s="127">
        <v>18</v>
      </c>
      <c r="E16" s="127">
        <v>9</v>
      </c>
      <c r="F16" s="127">
        <v>8</v>
      </c>
      <c r="G16" s="127">
        <v>9</v>
      </c>
      <c r="H16" s="127">
        <v>11</v>
      </c>
      <c r="I16" s="127">
        <v>13</v>
      </c>
      <c r="J16" s="127">
        <v>10</v>
      </c>
      <c r="K16" s="127">
        <v>11</v>
      </c>
      <c r="L16" s="127">
        <v>24</v>
      </c>
      <c r="M16" s="127">
        <v>22</v>
      </c>
    </row>
    <row r="17" spans="1:13">
      <c r="A17" s="127">
        <v>14</v>
      </c>
      <c r="B17" s="127">
        <v>380</v>
      </c>
      <c r="C17" s="127">
        <v>19</v>
      </c>
      <c r="D17" s="127">
        <v>19</v>
      </c>
      <c r="E17" s="127">
        <v>9</v>
      </c>
      <c r="F17" s="127">
        <v>9</v>
      </c>
      <c r="G17" s="127">
        <v>10</v>
      </c>
      <c r="H17" s="127">
        <v>12</v>
      </c>
      <c r="I17" s="127">
        <v>14</v>
      </c>
      <c r="J17" s="127">
        <v>11</v>
      </c>
      <c r="K17" s="127">
        <v>12</v>
      </c>
      <c r="L17" s="127">
        <v>25</v>
      </c>
      <c r="M17" s="127">
        <v>23</v>
      </c>
    </row>
    <row r="18" spans="1:13">
      <c r="A18" s="127">
        <v>15</v>
      </c>
      <c r="B18" s="127">
        <v>390</v>
      </c>
      <c r="C18" s="127">
        <v>20</v>
      </c>
      <c r="D18" s="127">
        <v>19</v>
      </c>
      <c r="E18" s="127">
        <v>10</v>
      </c>
      <c r="F18" s="127">
        <v>10</v>
      </c>
      <c r="G18" s="127">
        <v>10</v>
      </c>
      <c r="H18" s="127">
        <v>13</v>
      </c>
      <c r="I18" s="127">
        <v>14</v>
      </c>
      <c r="J18" s="127">
        <v>12</v>
      </c>
      <c r="K18" s="127">
        <v>13</v>
      </c>
      <c r="L18" s="127">
        <v>26</v>
      </c>
      <c r="M18" s="127">
        <v>24</v>
      </c>
    </row>
    <row r="19" spans="1:13">
      <c r="A19" s="127">
        <v>16</v>
      </c>
      <c r="B19" s="127">
        <v>410</v>
      </c>
      <c r="C19" s="127">
        <v>20</v>
      </c>
      <c r="D19" s="127">
        <v>20</v>
      </c>
      <c r="E19" s="127">
        <v>10</v>
      </c>
      <c r="F19" s="127">
        <v>10</v>
      </c>
      <c r="G19" s="127">
        <v>11</v>
      </c>
      <c r="H19" s="127">
        <v>14</v>
      </c>
      <c r="I19" s="127">
        <v>15</v>
      </c>
      <c r="J19" s="127">
        <v>13</v>
      </c>
      <c r="K19" s="127">
        <v>14</v>
      </c>
      <c r="L19" s="127">
        <v>27</v>
      </c>
      <c r="M19" s="127">
        <v>24</v>
      </c>
    </row>
    <row r="20" spans="1:13">
      <c r="A20" s="127">
        <v>17</v>
      </c>
      <c r="B20" s="127">
        <v>420</v>
      </c>
      <c r="C20" s="127">
        <v>21</v>
      </c>
      <c r="D20" s="127">
        <v>21</v>
      </c>
      <c r="E20" s="127">
        <v>11</v>
      </c>
      <c r="F20" s="127">
        <v>11</v>
      </c>
      <c r="G20" s="127">
        <v>12</v>
      </c>
      <c r="H20" s="127">
        <v>15</v>
      </c>
      <c r="I20" s="127"/>
      <c r="J20" s="127">
        <v>14</v>
      </c>
      <c r="K20" s="127">
        <v>15</v>
      </c>
      <c r="L20" s="127">
        <v>28</v>
      </c>
      <c r="M20" s="127">
        <v>25</v>
      </c>
    </row>
    <row r="21" spans="1:13">
      <c r="A21" s="127">
        <v>18</v>
      </c>
      <c r="B21" s="127">
        <v>430</v>
      </c>
      <c r="C21" s="127">
        <v>21</v>
      </c>
      <c r="D21" s="127">
        <v>21</v>
      </c>
      <c r="E21" s="127">
        <v>11</v>
      </c>
      <c r="F21" s="127">
        <v>12</v>
      </c>
      <c r="G21" s="127">
        <v>13</v>
      </c>
      <c r="H21" s="127"/>
      <c r="I21" s="127"/>
      <c r="J21" s="127">
        <v>15</v>
      </c>
      <c r="K21" s="127">
        <v>15</v>
      </c>
      <c r="L21" s="127">
        <v>28</v>
      </c>
      <c r="M21" s="127">
        <v>26</v>
      </c>
    </row>
    <row r="22" spans="1:13">
      <c r="A22" s="127">
        <v>19</v>
      </c>
      <c r="B22" s="127">
        <v>440</v>
      </c>
      <c r="C22" s="127">
        <v>22</v>
      </c>
      <c r="D22" s="127">
        <v>22</v>
      </c>
      <c r="E22" s="127">
        <v>12</v>
      </c>
      <c r="F22" s="127">
        <v>13</v>
      </c>
      <c r="G22" s="127">
        <v>15</v>
      </c>
      <c r="H22" s="127"/>
      <c r="I22" s="127"/>
      <c r="J22" s="127"/>
      <c r="K22" s="127"/>
      <c r="L22" s="127">
        <v>29</v>
      </c>
      <c r="M22" s="127">
        <v>27</v>
      </c>
    </row>
    <row r="23" spans="1:13">
      <c r="A23" s="127">
        <v>20</v>
      </c>
      <c r="B23" s="127">
        <v>450</v>
      </c>
      <c r="C23" s="127">
        <v>22</v>
      </c>
      <c r="D23" s="127">
        <v>23</v>
      </c>
      <c r="E23" s="127">
        <v>12</v>
      </c>
      <c r="F23" s="127">
        <v>15</v>
      </c>
      <c r="G23" s="127"/>
      <c r="H23" s="127"/>
      <c r="I23" s="127"/>
      <c r="J23" s="127"/>
      <c r="K23" s="127"/>
      <c r="L23" s="127">
        <v>30</v>
      </c>
      <c r="M23" s="127">
        <v>27</v>
      </c>
    </row>
    <row r="24" spans="1:13">
      <c r="A24" s="127">
        <v>21</v>
      </c>
      <c r="B24" s="127">
        <v>460</v>
      </c>
      <c r="C24" s="127">
        <v>23</v>
      </c>
      <c r="D24" s="127">
        <v>23</v>
      </c>
      <c r="E24" s="127">
        <v>13</v>
      </c>
      <c r="F24" s="127"/>
      <c r="G24" s="127"/>
      <c r="H24" s="127"/>
      <c r="I24" s="127"/>
      <c r="J24" s="127"/>
      <c r="K24" s="127"/>
      <c r="L24" s="127">
        <v>30</v>
      </c>
      <c r="M24" s="127">
        <v>28</v>
      </c>
    </row>
    <row r="25" spans="1:13">
      <c r="A25" s="127">
        <v>22</v>
      </c>
      <c r="B25" s="127">
        <v>470</v>
      </c>
      <c r="C25" s="127">
        <v>23</v>
      </c>
      <c r="D25" s="127">
        <v>24</v>
      </c>
      <c r="E25" s="127">
        <v>14</v>
      </c>
      <c r="F25" s="127"/>
      <c r="G25" s="127"/>
      <c r="H25" s="127"/>
      <c r="I25" s="127"/>
      <c r="J25" s="127"/>
      <c r="K25" s="127"/>
      <c r="L25" s="127">
        <v>31</v>
      </c>
      <c r="M25" s="127">
        <v>29</v>
      </c>
    </row>
    <row r="26" spans="1:13">
      <c r="A26" s="127">
        <v>23</v>
      </c>
      <c r="B26" s="127">
        <v>480</v>
      </c>
      <c r="C26" s="127">
        <v>24</v>
      </c>
      <c r="D26" s="127">
        <v>25</v>
      </c>
      <c r="E26" s="127">
        <v>14</v>
      </c>
      <c r="F26" s="127"/>
      <c r="G26" s="127"/>
      <c r="H26" s="127"/>
      <c r="I26" s="127"/>
      <c r="J26" s="127"/>
      <c r="K26" s="127"/>
      <c r="L26" s="127">
        <v>32</v>
      </c>
      <c r="M26" s="127">
        <v>30</v>
      </c>
    </row>
    <row r="27" spans="1:13">
      <c r="A27" s="127">
        <v>24</v>
      </c>
      <c r="B27" s="127">
        <v>480</v>
      </c>
      <c r="C27" s="127">
        <v>24</v>
      </c>
      <c r="D27" s="127">
        <v>25</v>
      </c>
      <c r="E27" s="127">
        <v>15</v>
      </c>
      <c r="F27" s="127"/>
      <c r="G27" s="127"/>
      <c r="H27" s="127"/>
      <c r="I27" s="127"/>
      <c r="J27" s="127"/>
      <c r="K27" s="127"/>
      <c r="L27" s="127">
        <v>32</v>
      </c>
      <c r="M27" s="127">
        <v>30</v>
      </c>
    </row>
    <row r="28" spans="1:13">
      <c r="A28" s="127">
        <v>25</v>
      </c>
      <c r="B28" s="127">
        <v>490</v>
      </c>
      <c r="C28" s="127">
        <v>25</v>
      </c>
      <c r="D28" s="127">
        <v>26</v>
      </c>
      <c r="E28" s="127"/>
      <c r="F28" s="127"/>
      <c r="G28" s="127"/>
      <c r="H28" s="127"/>
      <c r="I28" s="127"/>
      <c r="J28" s="127"/>
      <c r="K28" s="127"/>
      <c r="L28" s="127">
        <v>33</v>
      </c>
      <c r="M28" s="127">
        <v>31</v>
      </c>
    </row>
    <row r="29" spans="1:13">
      <c r="A29" s="127">
        <v>26</v>
      </c>
      <c r="B29" s="127">
        <v>500</v>
      </c>
      <c r="C29" s="127">
        <v>25</v>
      </c>
      <c r="D29" s="127">
        <v>26</v>
      </c>
      <c r="E29" s="127"/>
      <c r="F29" s="127"/>
      <c r="G29" s="127"/>
      <c r="H29" s="127"/>
      <c r="I29" s="127"/>
      <c r="J29" s="127"/>
      <c r="K29" s="127"/>
      <c r="L29" s="127">
        <v>34</v>
      </c>
      <c r="M29" s="127">
        <v>32</v>
      </c>
    </row>
    <row r="30" spans="1:13">
      <c r="A30" s="127">
        <v>27</v>
      </c>
      <c r="B30" s="127">
        <v>510</v>
      </c>
      <c r="C30" s="127">
        <v>26</v>
      </c>
      <c r="D30" s="127">
        <v>27</v>
      </c>
      <c r="E30" s="127"/>
      <c r="F30" s="127"/>
      <c r="G30" s="127"/>
      <c r="H30" s="127"/>
      <c r="I30" s="127"/>
      <c r="J30" s="127"/>
      <c r="K30" s="127"/>
      <c r="L30" s="127">
        <v>35</v>
      </c>
      <c r="M30" s="127">
        <v>33</v>
      </c>
    </row>
    <row r="31" spans="1:13">
      <c r="A31" s="127">
        <v>28</v>
      </c>
      <c r="B31" s="127">
        <v>520</v>
      </c>
      <c r="C31" s="127">
        <v>26</v>
      </c>
      <c r="D31" s="127">
        <v>28</v>
      </c>
      <c r="E31" s="127"/>
      <c r="F31" s="127"/>
      <c r="G31" s="127"/>
      <c r="H31" s="127"/>
      <c r="I31" s="127"/>
      <c r="J31" s="127"/>
      <c r="K31" s="127"/>
      <c r="L31" s="127">
        <v>35</v>
      </c>
      <c r="M31" s="127">
        <v>33</v>
      </c>
    </row>
    <row r="32" spans="1:13">
      <c r="A32" s="127">
        <v>29</v>
      </c>
      <c r="B32" s="127">
        <v>520</v>
      </c>
      <c r="C32" s="127">
        <v>27</v>
      </c>
      <c r="D32" s="127">
        <v>28</v>
      </c>
      <c r="E32" s="127"/>
      <c r="F32" s="127"/>
      <c r="G32" s="127"/>
      <c r="H32" s="127"/>
      <c r="I32" s="127"/>
      <c r="J32" s="127"/>
      <c r="K32" s="127"/>
      <c r="L32" s="127">
        <v>36</v>
      </c>
      <c r="M32" s="127">
        <v>34</v>
      </c>
    </row>
    <row r="33" spans="1:13">
      <c r="A33" s="127">
        <v>30</v>
      </c>
      <c r="B33" s="127">
        <v>530</v>
      </c>
      <c r="C33" s="127">
        <v>28</v>
      </c>
      <c r="D33" s="127">
        <v>29</v>
      </c>
      <c r="E33" s="127"/>
      <c r="F33" s="127"/>
      <c r="G33" s="127"/>
      <c r="H33" s="127"/>
      <c r="I33" s="127"/>
      <c r="J33" s="127"/>
      <c r="K33" s="127"/>
      <c r="L33" s="127">
        <v>37</v>
      </c>
      <c r="M33" s="127">
        <v>35</v>
      </c>
    </row>
    <row r="34" spans="1:13">
      <c r="A34" s="127">
        <v>31</v>
      </c>
      <c r="B34" s="127">
        <v>540</v>
      </c>
      <c r="C34" s="127">
        <v>28</v>
      </c>
      <c r="D34" s="127">
        <v>30</v>
      </c>
      <c r="E34" s="127"/>
      <c r="F34" s="127"/>
      <c r="G34" s="127"/>
      <c r="H34" s="127"/>
      <c r="I34" s="127"/>
      <c r="J34" s="127"/>
      <c r="K34" s="127"/>
      <c r="L34" s="127">
        <v>38</v>
      </c>
      <c r="M34" s="127">
        <v>36</v>
      </c>
    </row>
    <row r="35" spans="1:13">
      <c r="A35" s="127">
        <v>32</v>
      </c>
      <c r="B35" s="127">
        <v>550</v>
      </c>
      <c r="C35" s="127">
        <v>29</v>
      </c>
      <c r="D35" s="127">
        <v>30</v>
      </c>
      <c r="E35" s="127"/>
      <c r="F35" s="127"/>
      <c r="G35" s="127"/>
      <c r="H35" s="127"/>
      <c r="I35" s="127"/>
      <c r="J35" s="127"/>
      <c r="K35" s="127"/>
      <c r="L35" s="127">
        <v>38</v>
      </c>
      <c r="M35" s="127">
        <v>37</v>
      </c>
    </row>
    <row r="36" spans="1:13">
      <c r="A36" s="127">
        <v>33</v>
      </c>
      <c r="B36" s="127">
        <v>560</v>
      </c>
      <c r="C36" s="127">
        <v>29</v>
      </c>
      <c r="D36" s="127">
        <v>31</v>
      </c>
      <c r="E36" s="127"/>
      <c r="F36" s="127"/>
      <c r="G36" s="127"/>
      <c r="H36" s="127"/>
      <c r="I36" s="127"/>
      <c r="J36" s="127"/>
      <c r="K36" s="127"/>
      <c r="L36" s="127">
        <v>39</v>
      </c>
      <c r="M36" s="127">
        <v>38</v>
      </c>
    </row>
    <row r="37" spans="1:13">
      <c r="A37" s="127">
        <v>34</v>
      </c>
      <c r="B37" s="127">
        <v>560</v>
      </c>
      <c r="C37" s="127">
        <v>30</v>
      </c>
      <c r="D37" s="127">
        <v>32</v>
      </c>
      <c r="E37" s="127"/>
      <c r="F37" s="127"/>
      <c r="G37" s="127"/>
      <c r="H37" s="127"/>
      <c r="I37" s="127"/>
      <c r="J37" s="127"/>
      <c r="K37" s="127"/>
      <c r="L37" s="127">
        <v>40</v>
      </c>
      <c r="M37" s="127">
        <v>39</v>
      </c>
    </row>
    <row r="38" spans="1:13">
      <c r="A38" s="127">
        <v>35</v>
      </c>
      <c r="B38" s="127">
        <v>570</v>
      </c>
      <c r="C38" s="127">
        <v>30</v>
      </c>
      <c r="D38" s="127">
        <v>32</v>
      </c>
      <c r="E38" s="127"/>
      <c r="F38" s="127"/>
      <c r="G38" s="127"/>
      <c r="H38" s="127"/>
      <c r="I38" s="127"/>
      <c r="J38" s="127"/>
      <c r="K38" s="127"/>
      <c r="L38" s="127">
        <v>40</v>
      </c>
      <c r="M38" s="127">
        <v>40</v>
      </c>
    </row>
    <row r="39" spans="1:13">
      <c r="A39" s="127">
        <v>36</v>
      </c>
      <c r="B39" s="127">
        <v>580</v>
      </c>
      <c r="C39" s="127">
        <v>31</v>
      </c>
      <c r="D39" s="127">
        <v>33</v>
      </c>
      <c r="E39" s="127"/>
      <c r="F39" s="127"/>
      <c r="G39" s="127"/>
      <c r="H39" s="127"/>
      <c r="I39" s="127"/>
      <c r="J39" s="127"/>
      <c r="K39" s="127"/>
      <c r="L39" s="127"/>
      <c r="M39" s="127"/>
    </row>
    <row r="40" spans="1:13">
      <c r="A40" s="127">
        <v>37</v>
      </c>
      <c r="B40" s="127">
        <v>590</v>
      </c>
      <c r="C40" s="127">
        <v>31</v>
      </c>
      <c r="D40" s="127">
        <v>34</v>
      </c>
      <c r="E40" s="127"/>
      <c r="F40" s="127"/>
      <c r="G40" s="127"/>
      <c r="H40" s="127"/>
      <c r="I40" s="127"/>
      <c r="J40" s="127"/>
      <c r="K40" s="127"/>
      <c r="L40" s="127"/>
      <c r="M40" s="127"/>
    </row>
    <row r="41" spans="1:13">
      <c r="A41" s="127">
        <v>38</v>
      </c>
      <c r="B41" s="127">
        <v>600</v>
      </c>
      <c r="C41" s="127">
        <v>32</v>
      </c>
      <c r="D41" s="127">
        <v>34</v>
      </c>
      <c r="E41" s="127"/>
      <c r="F41" s="127"/>
      <c r="G41" s="127"/>
      <c r="H41" s="127"/>
      <c r="I41" s="127"/>
      <c r="J41" s="127"/>
      <c r="K41" s="127"/>
      <c r="L41" s="127"/>
      <c r="M41" s="127"/>
    </row>
    <row r="42" spans="1:13">
      <c r="A42" s="127">
        <v>39</v>
      </c>
      <c r="B42" s="127">
        <v>600</v>
      </c>
      <c r="C42" s="127">
        <v>32</v>
      </c>
      <c r="D42" s="127">
        <v>35</v>
      </c>
      <c r="E42" s="127"/>
      <c r="F42" s="127"/>
      <c r="G42" s="127"/>
      <c r="H42" s="127"/>
      <c r="I42" s="127"/>
      <c r="J42" s="127"/>
      <c r="K42" s="127"/>
      <c r="L42" s="127"/>
      <c r="M42" s="127"/>
    </row>
    <row r="43" spans="1:13">
      <c r="A43" s="127">
        <v>40</v>
      </c>
      <c r="B43" s="127">
        <v>610</v>
      </c>
      <c r="C43" s="127">
        <v>33</v>
      </c>
      <c r="D43" s="127">
        <v>36</v>
      </c>
      <c r="E43" s="127"/>
      <c r="F43" s="127"/>
      <c r="G43" s="127"/>
      <c r="H43" s="127"/>
      <c r="I43" s="127"/>
      <c r="J43" s="127"/>
      <c r="K43" s="127"/>
      <c r="L43" s="127"/>
      <c r="M43" s="127"/>
    </row>
    <row r="44" spans="1:13">
      <c r="A44" s="127">
        <v>41</v>
      </c>
      <c r="B44" s="127">
        <v>620</v>
      </c>
      <c r="C44" s="127">
        <v>33</v>
      </c>
      <c r="D44" s="127">
        <v>37</v>
      </c>
      <c r="E44" s="127"/>
      <c r="F44" s="127"/>
      <c r="G44" s="127"/>
      <c r="H44" s="127"/>
      <c r="I44" s="127"/>
      <c r="J44" s="127"/>
      <c r="K44" s="127"/>
      <c r="L44" s="127"/>
      <c r="M44" s="127"/>
    </row>
    <row r="45" spans="1:13">
      <c r="A45" s="127">
        <v>42</v>
      </c>
      <c r="B45" s="127">
        <v>630</v>
      </c>
      <c r="C45" s="127">
        <v>34</v>
      </c>
      <c r="D45" s="127">
        <v>38</v>
      </c>
      <c r="E45" s="127"/>
      <c r="F45" s="127"/>
      <c r="G45" s="127"/>
      <c r="H45" s="127"/>
      <c r="I45" s="127"/>
      <c r="J45" s="127"/>
      <c r="K45" s="127"/>
      <c r="L45" s="127"/>
      <c r="M45" s="127"/>
    </row>
    <row r="46" spans="1:13">
      <c r="A46" s="127">
        <v>43</v>
      </c>
      <c r="B46" s="127">
        <v>640</v>
      </c>
      <c r="C46" s="127">
        <v>35</v>
      </c>
      <c r="D46" s="127">
        <v>39</v>
      </c>
      <c r="E46" s="127"/>
      <c r="F46" s="127"/>
      <c r="G46" s="127"/>
      <c r="H46" s="127"/>
      <c r="I46" s="127"/>
      <c r="J46" s="127"/>
      <c r="K46" s="127"/>
      <c r="L46" s="127"/>
      <c r="M46" s="127"/>
    </row>
    <row r="47" spans="1:13">
      <c r="A47" s="127">
        <v>44</v>
      </c>
      <c r="B47" s="127">
        <v>650</v>
      </c>
      <c r="C47" s="127">
        <v>35</v>
      </c>
      <c r="D47" s="127">
        <v>40</v>
      </c>
      <c r="E47" s="127"/>
      <c r="F47" s="127"/>
      <c r="G47" s="127"/>
      <c r="H47" s="127"/>
      <c r="I47" s="127"/>
      <c r="J47" s="127"/>
      <c r="K47" s="127"/>
      <c r="L47" s="127"/>
      <c r="M47" s="127"/>
    </row>
    <row r="48" spans="1:13">
      <c r="A48" s="127">
        <v>45</v>
      </c>
      <c r="B48" s="127">
        <v>660</v>
      </c>
      <c r="C48" s="127">
        <v>36</v>
      </c>
      <c r="D48" s="127"/>
      <c r="E48" s="127"/>
      <c r="F48" s="127"/>
      <c r="G48" s="127"/>
      <c r="H48" s="127"/>
      <c r="I48" s="127"/>
      <c r="J48" s="127"/>
      <c r="K48" s="127"/>
      <c r="L48" s="127"/>
      <c r="M48" s="127"/>
    </row>
    <row r="49" spans="1:13">
      <c r="A49" s="127">
        <v>46</v>
      </c>
      <c r="B49" s="127">
        <v>670</v>
      </c>
      <c r="C49" s="127">
        <v>37</v>
      </c>
      <c r="D49" s="127"/>
      <c r="E49" s="127"/>
      <c r="F49" s="127"/>
      <c r="G49" s="127"/>
      <c r="H49" s="127"/>
      <c r="I49" s="127"/>
      <c r="J49" s="127"/>
      <c r="K49" s="127"/>
      <c r="L49" s="127"/>
      <c r="M49" s="127"/>
    </row>
    <row r="50" spans="1:13">
      <c r="A50" s="127">
        <v>47</v>
      </c>
      <c r="B50" s="127">
        <v>670</v>
      </c>
      <c r="C50" s="127">
        <v>37</v>
      </c>
      <c r="D50" s="127"/>
      <c r="E50" s="127"/>
      <c r="F50" s="127"/>
      <c r="G50" s="127"/>
      <c r="H50" s="127"/>
      <c r="I50" s="127"/>
      <c r="J50" s="127"/>
      <c r="K50" s="127"/>
      <c r="L50" s="127"/>
      <c r="M50" s="127"/>
    </row>
    <row r="51" spans="1:13">
      <c r="A51" s="127">
        <v>48</v>
      </c>
      <c r="B51" s="127">
        <v>680</v>
      </c>
      <c r="C51" s="127">
        <v>38</v>
      </c>
      <c r="D51" s="127"/>
      <c r="E51" s="127"/>
      <c r="F51" s="127"/>
      <c r="G51" s="127"/>
      <c r="H51" s="127"/>
      <c r="I51" s="127"/>
      <c r="J51" s="127"/>
      <c r="K51" s="127"/>
      <c r="L51" s="127"/>
      <c r="M51" s="127"/>
    </row>
    <row r="52" spans="1:13">
      <c r="A52" s="127">
        <v>49</v>
      </c>
      <c r="B52" s="127">
        <v>690</v>
      </c>
      <c r="C52" s="127">
        <v>38</v>
      </c>
      <c r="D52" s="127"/>
      <c r="E52" s="127"/>
      <c r="F52" s="127"/>
      <c r="G52" s="127"/>
      <c r="H52" s="127"/>
      <c r="I52" s="127"/>
      <c r="J52" s="127"/>
      <c r="K52" s="127"/>
      <c r="L52" s="127"/>
      <c r="M52" s="127"/>
    </row>
    <row r="53" spans="1:13">
      <c r="A53" s="127">
        <v>50</v>
      </c>
      <c r="B53" s="127">
        <v>700</v>
      </c>
      <c r="C53" s="127">
        <v>39</v>
      </c>
      <c r="D53" s="127"/>
      <c r="E53" s="127"/>
      <c r="F53" s="127"/>
      <c r="G53" s="127"/>
      <c r="H53" s="127"/>
      <c r="I53" s="127"/>
      <c r="J53" s="127"/>
      <c r="K53" s="127"/>
      <c r="L53" s="127"/>
      <c r="M53" s="127"/>
    </row>
    <row r="54" spans="1:13">
      <c r="A54" s="127">
        <v>51</v>
      </c>
      <c r="B54" s="127">
        <v>710</v>
      </c>
      <c r="C54" s="127">
        <v>40</v>
      </c>
      <c r="D54" s="127"/>
      <c r="E54" s="127"/>
      <c r="F54" s="127"/>
      <c r="G54" s="127"/>
      <c r="H54" s="127"/>
      <c r="I54" s="127"/>
      <c r="J54" s="127"/>
      <c r="K54" s="127"/>
      <c r="L54" s="127"/>
      <c r="M54" s="127"/>
    </row>
    <row r="55" spans="1:13">
      <c r="A55" s="127">
        <v>52</v>
      </c>
      <c r="B55" s="127">
        <v>730</v>
      </c>
      <c r="C55" s="127">
        <v>40</v>
      </c>
      <c r="D55" s="127"/>
      <c r="E55" s="127"/>
      <c r="F55" s="127"/>
      <c r="G55" s="127"/>
      <c r="H55" s="127"/>
      <c r="I55" s="127"/>
      <c r="J55" s="127"/>
      <c r="K55" s="127"/>
      <c r="L55" s="127"/>
      <c r="M55" s="127"/>
    </row>
    <row r="56" spans="1:13">
      <c r="A56" s="127">
        <v>53</v>
      </c>
      <c r="B56" s="127">
        <v>740</v>
      </c>
      <c r="C56" s="127"/>
      <c r="D56" s="127"/>
      <c r="E56" s="127"/>
      <c r="F56" s="127"/>
      <c r="G56" s="127"/>
      <c r="H56" s="127"/>
      <c r="I56" s="127"/>
      <c r="J56" s="127"/>
      <c r="K56" s="127"/>
      <c r="L56" s="127"/>
      <c r="M56" s="127"/>
    </row>
    <row r="57" spans="1:13">
      <c r="A57" s="127">
        <v>54</v>
      </c>
      <c r="B57" s="127">
        <v>750</v>
      </c>
      <c r="C57" s="127"/>
      <c r="D57" s="127"/>
      <c r="E57" s="127"/>
      <c r="F57" s="127"/>
      <c r="G57" s="127"/>
      <c r="H57" s="127"/>
      <c r="I57" s="127"/>
      <c r="J57" s="127"/>
      <c r="K57" s="127"/>
      <c r="L57" s="127"/>
      <c r="M57" s="127"/>
    </row>
    <row r="58" spans="1:13">
      <c r="A58" s="127">
        <v>55</v>
      </c>
      <c r="B58" s="127">
        <v>760</v>
      </c>
      <c r="C58" s="127"/>
      <c r="D58" s="127"/>
      <c r="E58" s="127"/>
      <c r="F58" s="127"/>
      <c r="G58" s="127"/>
      <c r="H58" s="127"/>
      <c r="I58" s="127"/>
      <c r="J58" s="127"/>
      <c r="K58" s="127"/>
      <c r="L58" s="127"/>
      <c r="M58" s="127"/>
    </row>
    <row r="59" spans="1:13">
      <c r="A59" s="127">
        <v>56</v>
      </c>
      <c r="B59" s="127">
        <v>780</v>
      </c>
      <c r="C59" s="127"/>
      <c r="D59" s="127"/>
      <c r="E59" s="127"/>
      <c r="F59" s="127"/>
      <c r="G59" s="127"/>
      <c r="H59" s="127"/>
      <c r="I59" s="127"/>
      <c r="J59" s="127"/>
      <c r="K59" s="127"/>
      <c r="L59" s="127"/>
      <c r="M59" s="127"/>
    </row>
    <row r="60" spans="1:13">
      <c r="A60" s="127">
        <v>57</v>
      </c>
      <c r="B60" s="127">
        <v>790</v>
      </c>
      <c r="C60" s="127"/>
      <c r="D60" s="127"/>
      <c r="E60" s="127"/>
      <c r="F60" s="127"/>
      <c r="G60" s="127"/>
      <c r="H60" s="127"/>
      <c r="I60" s="127"/>
      <c r="J60" s="127"/>
      <c r="K60" s="127"/>
      <c r="L60" s="127"/>
      <c r="M60" s="127"/>
    </row>
    <row r="61" spans="1:13">
      <c r="A61" s="127">
        <v>58</v>
      </c>
      <c r="B61" s="127">
        <v>800</v>
      </c>
      <c r="C61" s="127"/>
      <c r="D61" s="127"/>
      <c r="E61" s="127"/>
      <c r="F61" s="127"/>
      <c r="G61" s="127"/>
      <c r="H61" s="127"/>
      <c r="I61" s="127"/>
      <c r="J61" s="127"/>
      <c r="K61" s="127"/>
      <c r="L61" s="127"/>
      <c r="M61" s="127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9"/>
  <dimension ref="A1:M61"/>
  <sheetViews>
    <sheetView topLeftCell="A13" workbookViewId="0">
      <selection activeCell="E27" sqref="E27"/>
    </sheetView>
  </sheetViews>
  <sheetFormatPr defaultColWidth="9.140625" defaultRowHeight="15"/>
  <cols>
    <col min="1" max="3" width="11.140625" style="284" customWidth="1"/>
    <col min="4" max="4" width="11.28515625" style="284" customWidth="1"/>
    <col min="5" max="5" width="10.85546875" style="75" customWidth="1"/>
    <col min="6" max="10" width="9.140625" style="75"/>
    <col min="11" max="11" width="10.28515625" style="75" customWidth="1"/>
    <col min="12" max="16384" width="9.140625" style="75"/>
  </cols>
  <sheetData>
    <row r="1" spans="1:13" ht="36">
      <c r="A1" s="128" t="s">
        <v>214</v>
      </c>
    </row>
    <row r="2" spans="1:13" ht="42.75" customHeight="1">
      <c r="A2" s="92" t="s">
        <v>126</v>
      </c>
      <c r="B2" s="92" t="s">
        <v>133</v>
      </c>
      <c r="C2" s="92" t="s">
        <v>134</v>
      </c>
      <c r="D2" s="92" t="s">
        <v>135</v>
      </c>
      <c r="E2" s="92" t="s">
        <v>61</v>
      </c>
      <c r="F2" s="92" t="s">
        <v>65</v>
      </c>
      <c r="G2" s="92" t="s">
        <v>71</v>
      </c>
      <c r="H2" s="92" t="s">
        <v>96</v>
      </c>
      <c r="I2" s="92" t="s">
        <v>141</v>
      </c>
      <c r="J2" s="92" t="s">
        <v>139</v>
      </c>
      <c r="K2" s="92" t="s">
        <v>140</v>
      </c>
      <c r="L2" s="92" t="s">
        <v>143</v>
      </c>
      <c r="M2" s="92" t="s">
        <v>144</v>
      </c>
    </row>
    <row r="3" spans="1:13">
      <c r="A3" s="127">
        <v>0</v>
      </c>
      <c r="B3" s="127">
        <v>200</v>
      </c>
      <c r="C3" s="127">
        <v>10</v>
      </c>
      <c r="D3" s="127">
        <v>10</v>
      </c>
      <c r="E3" s="127">
        <v>1</v>
      </c>
      <c r="F3" s="127">
        <v>1</v>
      </c>
      <c r="G3" s="127">
        <v>1</v>
      </c>
      <c r="H3" s="127">
        <v>1</v>
      </c>
      <c r="I3" s="127">
        <v>1</v>
      </c>
      <c r="J3" s="127">
        <v>1</v>
      </c>
      <c r="K3" s="127">
        <v>1</v>
      </c>
      <c r="L3" s="127">
        <v>10</v>
      </c>
      <c r="M3" s="127">
        <v>10</v>
      </c>
    </row>
    <row r="4" spans="1:13">
      <c r="A4" s="127">
        <v>1</v>
      </c>
      <c r="B4" s="127">
        <v>200</v>
      </c>
      <c r="C4" s="127">
        <v>10</v>
      </c>
      <c r="D4" s="127">
        <v>10</v>
      </c>
      <c r="E4" s="127">
        <v>1</v>
      </c>
      <c r="F4" s="127">
        <v>1</v>
      </c>
      <c r="G4" s="127">
        <v>2</v>
      </c>
      <c r="H4" s="127">
        <v>1</v>
      </c>
      <c r="I4" s="127">
        <v>2</v>
      </c>
      <c r="J4" s="127">
        <v>1</v>
      </c>
      <c r="K4" s="127">
        <v>2</v>
      </c>
      <c r="L4" s="127">
        <v>10</v>
      </c>
      <c r="M4" s="127">
        <v>10</v>
      </c>
    </row>
    <row r="5" spans="1:13">
      <c r="A5" s="127">
        <v>2</v>
      </c>
      <c r="B5" s="127">
        <v>210</v>
      </c>
      <c r="C5" s="127">
        <v>10</v>
      </c>
      <c r="D5" s="127">
        <v>10</v>
      </c>
      <c r="E5" s="127">
        <v>2</v>
      </c>
      <c r="F5" s="127">
        <v>1</v>
      </c>
      <c r="G5" s="127">
        <v>3</v>
      </c>
      <c r="H5" s="127">
        <v>2</v>
      </c>
      <c r="I5" s="127">
        <v>3</v>
      </c>
      <c r="J5" s="127">
        <v>1</v>
      </c>
      <c r="K5" s="127">
        <v>3</v>
      </c>
      <c r="L5" s="127">
        <v>11</v>
      </c>
      <c r="M5" s="127">
        <v>12</v>
      </c>
    </row>
    <row r="6" spans="1:13">
      <c r="A6" s="127">
        <v>3</v>
      </c>
      <c r="B6" s="127">
        <v>230</v>
      </c>
      <c r="C6" s="127">
        <v>10</v>
      </c>
      <c r="D6" s="127">
        <v>11</v>
      </c>
      <c r="E6" s="127">
        <v>3</v>
      </c>
      <c r="F6" s="127">
        <v>1</v>
      </c>
      <c r="G6" s="127">
        <v>4</v>
      </c>
      <c r="H6" s="127">
        <v>3</v>
      </c>
      <c r="I6" s="127">
        <v>4</v>
      </c>
      <c r="J6" s="127">
        <v>2</v>
      </c>
      <c r="K6" s="127">
        <v>4</v>
      </c>
      <c r="L6" s="127">
        <v>12</v>
      </c>
      <c r="M6" s="127">
        <v>13</v>
      </c>
    </row>
    <row r="7" spans="1:13">
      <c r="A7" s="127">
        <v>4</v>
      </c>
      <c r="B7" s="127">
        <v>250</v>
      </c>
      <c r="C7" s="127">
        <v>11</v>
      </c>
      <c r="D7" s="127">
        <v>11</v>
      </c>
      <c r="E7" s="127">
        <v>3</v>
      </c>
      <c r="F7" s="127">
        <v>2</v>
      </c>
      <c r="G7" s="127">
        <v>5</v>
      </c>
      <c r="H7" s="127">
        <v>4</v>
      </c>
      <c r="I7" s="127">
        <v>5</v>
      </c>
      <c r="J7" s="127">
        <v>3</v>
      </c>
      <c r="K7" s="127">
        <v>5</v>
      </c>
      <c r="L7" s="127">
        <v>13</v>
      </c>
      <c r="M7" s="127">
        <v>14</v>
      </c>
    </row>
    <row r="8" spans="1:13">
      <c r="A8" s="127">
        <v>5</v>
      </c>
      <c r="B8" s="127">
        <v>260</v>
      </c>
      <c r="C8" s="127">
        <v>12</v>
      </c>
      <c r="D8" s="127">
        <v>12</v>
      </c>
      <c r="E8" s="127">
        <v>4</v>
      </c>
      <c r="F8" s="127">
        <v>3</v>
      </c>
      <c r="G8" s="127">
        <v>6</v>
      </c>
      <c r="H8" s="127">
        <v>5</v>
      </c>
      <c r="I8" s="127">
        <v>6</v>
      </c>
      <c r="J8" s="127">
        <v>4</v>
      </c>
      <c r="K8" s="127">
        <v>5</v>
      </c>
      <c r="L8" s="127">
        <v>15</v>
      </c>
      <c r="M8" s="127">
        <v>15</v>
      </c>
    </row>
    <row r="9" spans="1:13">
      <c r="A9" s="127">
        <v>6</v>
      </c>
      <c r="B9" s="127">
        <v>280</v>
      </c>
      <c r="C9" s="127">
        <v>13</v>
      </c>
      <c r="D9" s="127">
        <v>13</v>
      </c>
      <c r="E9" s="127">
        <v>5</v>
      </c>
      <c r="F9" s="127">
        <v>3</v>
      </c>
      <c r="G9" s="127">
        <v>6</v>
      </c>
      <c r="H9" s="127">
        <v>6</v>
      </c>
      <c r="I9" s="127">
        <v>7</v>
      </c>
      <c r="J9" s="127">
        <v>5</v>
      </c>
      <c r="K9" s="127">
        <v>6</v>
      </c>
      <c r="L9" s="127">
        <v>16</v>
      </c>
      <c r="M9" s="127">
        <v>16</v>
      </c>
    </row>
    <row r="10" spans="1:13">
      <c r="A10" s="127">
        <v>7</v>
      </c>
      <c r="B10" s="127">
        <v>290</v>
      </c>
      <c r="C10" s="127">
        <v>14</v>
      </c>
      <c r="D10" s="127">
        <v>14</v>
      </c>
      <c r="E10" s="127">
        <v>6</v>
      </c>
      <c r="F10" s="127">
        <v>4</v>
      </c>
      <c r="G10" s="127">
        <v>7</v>
      </c>
      <c r="H10" s="127">
        <v>7</v>
      </c>
      <c r="I10" s="127">
        <v>7</v>
      </c>
      <c r="J10" s="127">
        <v>6</v>
      </c>
      <c r="K10" s="127">
        <v>7</v>
      </c>
      <c r="L10" s="127">
        <v>17</v>
      </c>
      <c r="M10" s="127">
        <v>17</v>
      </c>
    </row>
    <row r="11" spans="1:13">
      <c r="A11" s="127">
        <v>8</v>
      </c>
      <c r="B11" s="127">
        <v>310</v>
      </c>
      <c r="C11" s="127">
        <v>15</v>
      </c>
      <c r="D11" s="127">
        <v>15</v>
      </c>
      <c r="E11" s="127">
        <v>7</v>
      </c>
      <c r="F11" s="127">
        <v>5</v>
      </c>
      <c r="G11" s="127">
        <v>8</v>
      </c>
      <c r="H11" s="127">
        <v>8</v>
      </c>
      <c r="I11" s="127">
        <v>8</v>
      </c>
      <c r="J11" s="127">
        <v>6</v>
      </c>
      <c r="K11" s="127">
        <v>8</v>
      </c>
      <c r="L11" s="127">
        <v>18</v>
      </c>
      <c r="M11" s="127">
        <v>18</v>
      </c>
    </row>
    <row r="12" spans="1:13">
      <c r="A12" s="127">
        <v>9</v>
      </c>
      <c r="B12" s="127">
        <v>320</v>
      </c>
      <c r="C12" s="127">
        <v>15</v>
      </c>
      <c r="D12" s="127">
        <v>16</v>
      </c>
      <c r="E12" s="127">
        <v>7</v>
      </c>
      <c r="F12" s="127">
        <v>6</v>
      </c>
      <c r="G12" s="127">
        <v>9</v>
      </c>
      <c r="H12" s="127">
        <v>9</v>
      </c>
      <c r="I12" s="127">
        <v>9</v>
      </c>
      <c r="J12" s="127">
        <v>7</v>
      </c>
      <c r="K12" s="127">
        <v>8</v>
      </c>
      <c r="L12" s="127">
        <v>19</v>
      </c>
      <c r="M12" s="127">
        <v>19</v>
      </c>
    </row>
    <row r="13" spans="1:13">
      <c r="A13" s="127">
        <v>10</v>
      </c>
      <c r="B13" s="127">
        <v>330</v>
      </c>
      <c r="C13" s="127">
        <v>16</v>
      </c>
      <c r="D13" s="127">
        <v>16</v>
      </c>
      <c r="E13" s="127">
        <v>8</v>
      </c>
      <c r="F13" s="127">
        <v>6</v>
      </c>
      <c r="G13" s="127">
        <v>9</v>
      </c>
      <c r="H13" s="127">
        <v>9</v>
      </c>
      <c r="I13" s="127">
        <v>10</v>
      </c>
      <c r="J13" s="127">
        <v>8</v>
      </c>
      <c r="K13" s="127">
        <v>9</v>
      </c>
      <c r="L13" s="127">
        <v>20</v>
      </c>
      <c r="M13" s="127">
        <v>19</v>
      </c>
    </row>
    <row r="14" spans="1:13">
      <c r="A14" s="127">
        <v>11</v>
      </c>
      <c r="B14" s="127">
        <v>340</v>
      </c>
      <c r="C14" s="127">
        <v>17</v>
      </c>
      <c r="D14" s="127">
        <v>17</v>
      </c>
      <c r="E14" s="127">
        <v>8</v>
      </c>
      <c r="F14" s="127">
        <v>7</v>
      </c>
      <c r="G14" s="127">
        <v>10</v>
      </c>
      <c r="H14" s="127">
        <v>10</v>
      </c>
      <c r="I14" s="127">
        <v>11</v>
      </c>
      <c r="J14" s="127">
        <v>8</v>
      </c>
      <c r="K14" s="127">
        <v>9</v>
      </c>
      <c r="L14" s="127">
        <v>21</v>
      </c>
      <c r="M14" s="127">
        <v>20</v>
      </c>
    </row>
    <row r="15" spans="1:13">
      <c r="A15" s="127">
        <v>12</v>
      </c>
      <c r="B15" s="127">
        <v>350</v>
      </c>
      <c r="C15" s="127">
        <v>17</v>
      </c>
      <c r="D15" s="127">
        <v>18</v>
      </c>
      <c r="E15" s="127">
        <v>9</v>
      </c>
      <c r="F15" s="127">
        <v>8</v>
      </c>
      <c r="G15" s="127">
        <v>10</v>
      </c>
      <c r="H15" s="127">
        <v>11</v>
      </c>
      <c r="I15" s="127">
        <v>11</v>
      </c>
      <c r="J15" s="127">
        <v>9</v>
      </c>
      <c r="K15" s="127">
        <v>10</v>
      </c>
      <c r="L15" s="127">
        <v>22</v>
      </c>
      <c r="M15" s="127">
        <v>21</v>
      </c>
    </row>
    <row r="16" spans="1:13">
      <c r="A16" s="127">
        <v>13</v>
      </c>
      <c r="B16" s="127">
        <v>360</v>
      </c>
      <c r="C16" s="127">
        <v>18</v>
      </c>
      <c r="D16" s="127">
        <v>18</v>
      </c>
      <c r="E16" s="127">
        <v>9</v>
      </c>
      <c r="F16" s="127">
        <v>8</v>
      </c>
      <c r="G16" s="127">
        <v>11</v>
      </c>
      <c r="H16" s="127">
        <v>11</v>
      </c>
      <c r="I16" s="127">
        <v>12</v>
      </c>
      <c r="J16" s="127">
        <v>10</v>
      </c>
      <c r="K16" s="127">
        <v>11</v>
      </c>
      <c r="L16" s="127">
        <v>22</v>
      </c>
      <c r="M16" s="127">
        <v>22</v>
      </c>
    </row>
    <row r="17" spans="1:13">
      <c r="A17" s="127">
        <v>14</v>
      </c>
      <c r="B17" s="127">
        <v>380</v>
      </c>
      <c r="C17" s="127">
        <v>18</v>
      </c>
      <c r="D17" s="127">
        <v>19</v>
      </c>
      <c r="E17" s="127">
        <v>10</v>
      </c>
      <c r="F17" s="127">
        <v>9</v>
      </c>
      <c r="G17" s="127">
        <v>12</v>
      </c>
      <c r="H17" s="127">
        <v>12</v>
      </c>
      <c r="I17" s="127">
        <v>14</v>
      </c>
      <c r="J17" s="127">
        <v>10</v>
      </c>
      <c r="K17" s="127">
        <v>12</v>
      </c>
      <c r="L17" s="127">
        <v>23</v>
      </c>
      <c r="M17" s="127">
        <v>22</v>
      </c>
    </row>
    <row r="18" spans="1:13">
      <c r="A18" s="127">
        <v>15</v>
      </c>
      <c r="B18" s="127">
        <v>390</v>
      </c>
      <c r="C18" s="127">
        <v>19</v>
      </c>
      <c r="D18" s="127">
        <v>20</v>
      </c>
      <c r="E18" s="127">
        <v>11</v>
      </c>
      <c r="F18" s="127">
        <v>10</v>
      </c>
      <c r="G18" s="127">
        <v>12</v>
      </c>
      <c r="H18" s="127">
        <v>13</v>
      </c>
      <c r="I18" s="127">
        <v>14</v>
      </c>
      <c r="J18" s="127">
        <v>11</v>
      </c>
      <c r="K18" s="127">
        <v>12</v>
      </c>
      <c r="L18" s="127">
        <v>24</v>
      </c>
      <c r="M18" s="127">
        <v>23</v>
      </c>
    </row>
    <row r="19" spans="1:13">
      <c r="A19" s="127">
        <v>16</v>
      </c>
      <c r="B19" s="127">
        <v>400</v>
      </c>
      <c r="C19" s="127">
        <v>19</v>
      </c>
      <c r="D19" s="127">
        <v>20</v>
      </c>
      <c r="E19" s="127">
        <v>11</v>
      </c>
      <c r="F19" s="127">
        <v>11</v>
      </c>
      <c r="G19" s="127">
        <v>13</v>
      </c>
      <c r="H19" s="127">
        <v>14</v>
      </c>
      <c r="I19" s="127">
        <v>15</v>
      </c>
      <c r="J19" s="127">
        <v>12</v>
      </c>
      <c r="K19" s="127">
        <v>13</v>
      </c>
      <c r="L19" s="127">
        <v>25</v>
      </c>
      <c r="M19" s="127">
        <v>24</v>
      </c>
    </row>
    <row r="20" spans="1:13">
      <c r="A20" s="127">
        <v>17</v>
      </c>
      <c r="B20" s="127">
        <v>410</v>
      </c>
      <c r="C20" s="127">
        <v>20</v>
      </c>
      <c r="D20" s="127">
        <v>21</v>
      </c>
      <c r="E20" s="127">
        <v>12</v>
      </c>
      <c r="F20" s="127">
        <v>11</v>
      </c>
      <c r="G20" s="127">
        <v>14</v>
      </c>
      <c r="H20" s="127">
        <v>15</v>
      </c>
      <c r="I20" s="127"/>
      <c r="J20" s="127">
        <v>13</v>
      </c>
      <c r="K20" s="127">
        <v>14</v>
      </c>
      <c r="L20" s="127">
        <v>25</v>
      </c>
      <c r="M20" s="127">
        <v>24</v>
      </c>
    </row>
    <row r="21" spans="1:13">
      <c r="A21" s="127">
        <v>18</v>
      </c>
      <c r="B21" s="127">
        <v>420</v>
      </c>
      <c r="C21" s="127">
        <v>20</v>
      </c>
      <c r="D21" s="127">
        <v>22</v>
      </c>
      <c r="E21" s="127">
        <v>12</v>
      </c>
      <c r="F21" s="127">
        <v>12</v>
      </c>
      <c r="G21" s="127">
        <v>15</v>
      </c>
      <c r="H21" s="127"/>
      <c r="I21" s="127"/>
      <c r="J21" s="127">
        <v>15</v>
      </c>
      <c r="K21" s="127">
        <v>15</v>
      </c>
      <c r="L21" s="127">
        <v>26</v>
      </c>
      <c r="M21" s="127">
        <v>25</v>
      </c>
    </row>
    <row r="22" spans="1:13">
      <c r="A22" s="127">
        <v>19</v>
      </c>
      <c r="B22" s="127">
        <v>430</v>
      </c>
      <c r="C22" s="127">
        <v>21</v>
      </c>
      <c r="D22" s="127">
        <v>23</v>
      </c>
      <c r="E22" s="127">
        <v>13</v>
      </c>
      <c r="F22" s="127">
        <v>14</v>
      </c>
      <c r="G22" s="127">
        <v>15</v>
      </c>
      <c r="H22" s="127"/>
      <c r="I22" s="127"/>
      <c r="J22" s="127"/>
      <c r="K22" s="127"/>
      <c r="L22" s="127">
        <v>27</v>
      </c>
      <c r="M22" s="127">
        <v>26</v>
      </c>
    </row>
    <row r="23" spans="1:13">
      <c r="A23" s="127">
        <v>20</v>
      </c>
      <c r="B23" s="127">
        <v>440</v>
      </c>
      <c r="C23" s="127">
        <v>21</v>
      </c>
      <c r="D23" s="127">
        <v>23</v>
      </c>
      <c r="E23" s="127">
        <v>13</v>
      </c>
      <c r="F23" s="127">
        <v>15</v>
      </c>
      <c r="G23" s="127"/>
      <c r="H23" s="127"/>
      <c r="I23" s="127"/>
      <c r="J23" s="127"/>
      <c r="K23" s="127"/>
      <c r="L23" s="127">
        <v>27</v>
      </c>
      <c r="M23" s="127">
        <v>26</v>
      </c>
    </row>
    <row r="24" spans="1:13">
      <c r="A24" s="127">
        <v>21</v>
      </c>
      <c r="B24" s="127">
        <v>450</v>
      </c>
      <c r="C24" s="127">
        <v>22</v>
      </c>
      <c r="D24" s="127">
        <v>24</v>
      </c>
      <c r="E24" s="127">
        <v>14</v>
      </c>
      <c r="F24" s="127"/>
      <c r="G24" s="127"/>
      <c r="H24" s="127"/>
      <c r="I24" s="127"/>
      <c r="J24" s="127"/>
      <c r="K24" s="127"/>
      <c r="L24" s="127">
        <v>28</v>
      </c>
      <c r="M24" s="127">
        <v>27</v>
      </c>
    </row>
    <row r="25" spans="1:13">
      <c r="A25" s="127">
        <v>22</v>
      </c>
      <c r="B25" s="127">
        <v>460</v>
      </c>
      <c r="C25" s="127">
        <v>22</v>
      </c>
      <c r="D25" s="127">
        <v>25</v>
      </c>
      <c r="E25" s="127">
        <v>15</v>
      </c>
      <c r="F25" s="127"/>
      <c r="G25" s="127"/>
      <c r="H25" s="127"/>
      <c r="I25" s="127"/>
      <c r="J25" s="127"/>
      <c r="K25" s="127"/>
      <c r="L25" s="127">
        <v>29</v>
      </c>
      <c r="M25" s="127">
        <v>28</v>
      </c>
    </row>
    <row r="26" spans="1:13">
      <c r="A26" s="127">
        <v>23</v>
      </c>
      <c r="B26" s="127">
        <v>470</v>
      </c>
      <c r="C26" s="127">
        <v>23</v>
      </c>
      <c r="D26" s="127">
        <v>25</v>
      </c>
      <c r="E26" s="127">
        <v>15</v>
      </c>
      <c r="F26" s="127"/>
      <c r="G26" s="127"/>
      <c r="H26" s="127"/>
      <c r="I26" s="127"/>
      <c r="J26" s="127"/>
      <c r="K26" s="127"/>
      <c r="L26" s="127">
        <v>29</v>
      </c>
      <c r="M26" s="127">
        <v>28</v>
      </c>
    </row>
    <row r="27" spans="1:13">
      <c r="A27" s="127">
        <v>24</v>
      </c>
      <c r="B27" s="127">
        <v>490</v>
      </c>
      <c r="C27" s="127">
        <v>23</v>
      </c>
      <c r="D27" s="127">
        <v>26</v>
      </c>
      <c r="E27" s="127">
        <v>15</v>
      </c>
      <c r="F27" s="127"/>
      <c r="G27" s="127"/>
      <c r="H27" s="127"/>
      <c r="I27" s="127"/>
      <c r="J27" s="127"/>
      <c r="K27" s="127"/>
      <c r="L27" s="127">
        <v>30</v>
      </c>
      <c r="M27" s="127">
        <v>29</v>
      </c>
    </row>
    <row r="28" spans="1:13">
      <c r="A28" s="127">
        <v>25</v>
      </c>
      <c r="B28" s="127">
        <v>500</v>
      </c>
      <c r="C28" s="127">
        <v>24</v>
      </c>
      <c r="D28" s="127">
        <v>27</v>
      </c>
      <c r="E28" s="127"/>
      <c r="F28" s="127"/>
      <c r="G28" s="127"/>
      <c r="H28" s="127"/>
      <c r="I28" s="127"/>
      <c r="J28" s="127"/>
      <c r="K28" s="127"/>
      <c r="L28" s="127">
        <v>31</v>
      </c>
      <c r="M28" s="127">
        <v>30</v>
      </c>
    </row>
    <row r="29" spans="1:13">
      <c r="A29" s="127">
        <v>26</v>
      </c>
      <c r="B29" s="127">
        <v>510</v>
      </c>
      <c r="C29" s="127">
        <v>24</v>
      </c>
      <c r="D29" s="127">
        <v>27</v>
      </c>
      <c r="E29" s="127"/>
      <c r="F29" s="127"/>
      <c r="G29" s="127"/>
      <c r="H29" s="127"/>
      <c r="I29" s="127"/>
      <c r="J29" s="127"/>
      <c r="K29" s="127"/>
      <c r="L29" s="127">
        <v>31</v>
      </c>
      <c r="M29" s="127">
        <v>31</v>
      </c>
    </row>
    <row r="30" spans="1:13">
      <c r="A30" s="127">
        <v>27</v>
      </c>
      <c r="B30" s="127">
        <v>510</v>
      </c>
      <c r="C30" s="127">
        <v>25</v>
      </c>
      <c r="D30" s="127">
        <v>28</v>
      </c>
      <c r="E30" s="127"/>
      <c r="F30" s="127"/>
      <c r="G30" s="127"/>
      <c r="H30" s="127"/>
      <c r="I30" s="127"/>
      <c r="J30" s="127"/>
      <c r="K30" s="127"/>
      <c r="L30" s="127">
        <v>32</v>
      </c>
      <c r="M30" s="127">
        <v>31</v>
      </c>
    </row>
    <row r="31" spans="1:13">
      <c r="A31" s="127">
        <v>28</v>
      </c>
      <c r="B31" s="127">
        <v>520</v>
      </c>
      <c r="C31" s="127">
        <v>25</v>
      </c>
      <c r="D31" s="127">
        <v>28</v>
      </c>
      <c r="E31" s="127"/>
      <c r="F31" s="127"/>
      <c r="G31" s="127"/>
      <c r="H31" s="127"/>
      <c r="I31" s="127"/>
      <c r="J31" s="127"/>
      <c r="K31" s="127"/>
      <c r="L31" s="127">
        <v>33</v>
      </c>
      <c r="M31" s="127">
        <v>32</v>
      </c>
    </row>
    <row r="32" spans="1:13">
      <c r="A32" s="127">
        <v>29</v>
      </c>
      <c r="B32" s="127">
        <v>530</v>
      </c>
      <c r="C32" s="127">
        <v>26</v>
      </c>
      <c r="D32" s="127">
        <v>29</v>
      </c>
      <c r="E32" s="127"/>
      <c r="F32" s="127"/>
      <c r="G32" s="127"/>
      <c r="H32" s="127"/>
      <c r="I32" s="127"/>
      <c r="J32" s="127"/>
      <c r="K32" s="127"/>
      <c r="L32" s="127">
        <v>34</v>
      </c>
      <c r="M32" s="127">
        <v>33</v>
      </c>
    </row>
    <row r="33" spans="1:13">
      <c r="A33" s="127">
        <v>30</v>
      </c>
      <c r="B33" s="127">
        <v>530</v>
      </c>
      <c r="C33" s="127">
        <v>26</v>
      </c>
      <c r="D33" s="127">
        <v>30</v>
      </c>
      <c r="E33" s="127"/>
      <c r="F33" s="127"/>
      <c r="G33" s="127"/>
      <c r="H33" s="127"/>
      <c r="I33" s="127"/>
      <c r="J33" s="127"/>
      <c r="K33" s="127"/>
      <c r="L33" s="127">
        <v>35</v>
      </c>
      <c r="M33" s="127">
        <v>34</v>
      </c>
    </row>
    <row r="34" spans="1:13">
      <c r="A34" s="127">
        <v>31</v>
      </c>
      <c r="B34" s="127">
        <v>540</v>
      </c>
      <c r="C34" s="127">
        <v>27</v>
      </c>
      <c r="D34" s="127">
        <v>30</v>
      </c>
      <c r="E34" s="127"/>
      <c r="F34" s="127"/>
      <c r="G34" s="127"/>
      <c r="H34" s="127"/>
      <c r="I34" s="127"/>
      <c r="J34" s="127"/>
      <c r="K34" s="127"/>
      <c r="L34" s="127">
        <v>36</v>
      </c>
      <c r="M34" s="127">
        <v>35</v>
      </c>
    </row>
    <row r="35" spans="1:13">
      <c r="A35" s="127">
        <v>32</v>
      </c>
      <c r="B35" s="127">
        <v>550</v>
      </c>
      <c r="C35" s="127">
        <v>27</v>
      </c>
      <c r="D35" s="127">
        <v>31</v>
      </c>
      <c r="E35" s="127"/>
      <c r="F35" s="127"/>
      <c r="G35" s="127"/>
      <c r="H35" s="127"/>
      <c r="I35" s="127"/>
      <c r="J35" s="127"/>
      <c r="K35" s="127"/>
      <c r="L35" s="127">
        <v>37</v>
      </c>
      <c r="M35" s="127">
        <v>36</v>
      </c>
    </row>
    <row r="36" spans="1:13">
      <c r="A36" s="127">
        <v>33</v>
      </c>
      <c r="B36" s="127">
        <v>560</v>
      </c>
      <c r="C36" s="127">
        <v>28</v>
      </c>
      <c r="D36" s="127">
        <v>31</v>
      </c>
      <c r="E36" s="127"/>
      <c r="F36" s="127"/>
      <c r="G36" s="127"/>
      <c r="H36" s="127"/>
      <c r="I36" s="127"/>
      <c r="J36" s="127"/>
      <c r="K36" s="127"/>
      <c r="L36" s="127">
        <v>38</v>
      </c>
      <c r="M36" s="127">
        <v>37</v>
      </c>
    </row>
    <row r="37" spans="1:13">
      <c r="A37" s="127">
        <v>34</v>
      </c>
      <c r="B37" s="127">
        <v>570</v>
      </c>
      <c r="C37" s="127">
        <v>28</v>
      </c>
      <c r="D37" s="127">
        <v>32</v>
      </c>
      <c r="E37" s="127"/>
      <c r="F37" s="127"/>
      <c r="G37" s="127"/>
      <c r="H37" s="127"/>
      <c r="I37" s="127"/>
      <c r="J37" s="127"/>
      <c r="K37" s="127"/>
      <c r="L37" s="127">
        <v>39</v>
      </c>
      <c r="M37" s="127">
        <v>39</v>
      </c>
    </row>
    <row r="38" spans="1:13">
      <c r="A38" s="127">
        <v>35</v>
      </c>
      <c r="B38" s="127">
        <v>580</v>
      </c>
      <c r="C38" s="127">
        <v>29</v>
      </c>
      <c r="D38" s="127">
        <v>33</v>
      </c>
      <c r="E38" s="127"/>
      <c r="F38" s="127"/>
      <c r="G38" s="127"/>
      <c r="H38" s="127"/>
      <c r="I38" s="127"/>
      <c r="J38" s="127"/>
      <c r="K38" s="127"/>
      <c r="L38" s="127">
        <v>40</v>
      </c>
      <c r="M38" s="127">
        <v>40</v>
      </c>
    </row>
    <row r="39" spans="1:13">
      <c r="A39" s="127">
        <v>36</v>
      </c>
      <c r="B39" s="127">
        <v>590</v>
      </c>
      <c r="C39" s="127">
        <v>29</v>
      </c>
      <c r="D39" s="127">
        <v>34</v>
      </c>
      <c r="E39" s="127"/>
      <c r="F39" s="127"/>
      <c r="G39" s="127"/>
      <c r="H39" s="127"/>
      <c r="I39" s="127"/>
      <c r="J39" s="127"/>
      <c r="K39" s="127"/>
      <c r="L39" s="127"/>
      <c r="M39" s="127"/>
    </row>
    <row r="40" spans="1:13">
      <c r="A40" s="127">
        <v>37</v>
      </c>
      <c r="B40" s="127">
        <v>590</v>
      </c>
      <c r="C40" s="127">
        <v>30</v>
      </c>
      <c r="D40" s="127">
        <v>34</v>
      </c>
      <c r="E40" s="127"/>
      <c r="F40" s="127"/>
      <c r="G40" s="127"/>
      <c r="H40" s="127"/>
      <c r="I40" s="127"/>
      <c r="J40" s="127"/>
      <c r="K40" s="127"/>
      <c r="L40" s="127"/>
      <c r="M40" s="127"/>
    </row>
    <row r="41" spans="1:13">
      <c r="A41" s="127">
        <v>38</v>
      </c>
      <c r="B41" s="127">
        <v>600</v>
      </c>
      <c r="C41" s="127">
        <v>30</v>
      </c>
      <c r="D41" s="127">
        <v>35</v>
      </c>
      <c r="E41" s="127"/>
      <c r="F41" s="127"/>
      <c r="G41" s="127"/>
      <c r="H41" s="127"/>
      <c r="I41" s="127"/>
      <c r="J41" s="127"/>
      <c r="K41" s="127"/>
      <c r="L41" s="127"/>
      <c r="M41" s="127"/>
    </row>
    <row r="42" spans="1:13">
      <c r="A42" s="127">
        <v>39</v>
      </c>
      <c r="B42" s="127">
        <v>610</v>
      </c>
      <c r="C42" s="127">
        <v>31</v>
      </c>
      <c r="D42" s="127">
        <v>36</v>
      </c>
      <c r="E42" s="127"/>
      <c r="F42" s="127"/>
      <c r="G42" s="127"/>
      <c r="H42" s="127"/>
      <c r="I42" s="127"/>
      <c r="J42" s="127"/>
      <c r="K42" s="127"/>
      <c r="L42" s="127"/>
      <c r="M42" s="127"/>
    </row>
    <row r="43" spans="1:13">
      <c r="A43" s="127">
        <v>40</v>
      </c>
      <c r="B43" s="127">
        <v>620</v>
      </c>
      <c r="C43" s="127">
        <v>31</v>
      </c>
      <c r="D43" s="127">
        <v>36</v>
      </c>
      <c r="E43" s="127"/>
      <c r="F43" s="127"/>
      <c r="G43" s="127"/>
      <c r="H43" s="127"/>
      <c r="I43" s="127"/>
      <c r="J43" s="127"/>
      <c r="K43" s="127"/>
      <c r="L43" s="127"/>
      <c r="M43" s="127"/>
    </row>
    <row r="44" spans="1:13">
      <c r="A44" s="127">
        <v>41</v>
      </c>
      <c r="B44" s="127">
        <v>630</v>
      </c>
      <c r="C44" s="127">
        <v>32</v>
      </c>
      <c r="D44" s="127">
        <v>38</v>
      </c>
      <c r="E44" s="127"/>
      <c r="F44" s="127"/>
      <c r="G44" s="127"/>
      <c r="H44" s="127"/>
      <c r="I44" s="127"/>
      <c r="J44" s="127"/>
      <c r="K44" s="127"/>
      <c r="L44" s="127"/>
      <c r="M44" s="127"/>
    </row>
    <row r="45" spans="1:13">
      <c r="A45" s="127">
        <v>42</v>
      </c>
      <c r="B45" s="127">
        <v>640</v>
      </c>
      <c r="C45" s="127">
        <v>33</v>
      </c>
      <c r="D45" s="127">
        <v>39</v>
      </c>
      <c r="E45" s="127"/>
      <c r="F45" s="127"/>
      <c r="G45" s="127"/>
      <c r="H45" s="127"/>
      <c r="I45" s="127"/>
      <c r="J45" s="127"/>
      <c r="K45" s="127"/>
      <c r="L45" s="127"/>
      <c r="M45" s="127"/>
    </row>
    <row r="46" spans="1:13">
      <c r="A46" s="127">
        <v>43</v>
      </c>
      <c r="B46" s="127">
        <v>650</v>
      </c>
      <c r="C46" s="127">
        <v>33</v>
      </c>
      <c r="D46" s="127">
        <v>39</v>
      </c>
      <c r="E46" s="127"/>
      <c r="F46" s="127"/>
      <c r="G46" s="127"/>
      <c r="H46" s="127"/>
      <c r="I46" s="127"/>
      <c r="J46" s="127"/>
      <c r="K46" s="127"/>
      <c r="L46" s="127"/>
      <c r="M46" s="127"/>
    </row>
    <row r="47" spans="1:13">
      <c r="A47" s="127">
        <v>44</v>
      </c>
      <c r="B47" s="127">
        <v>660</v>
      </c>
      <c r="C47" s="127">
        <v>34</v>
      </c>
      <c r="D47" s="127">
        <v>40</v>
      </c>
      <c r="E47" s="127"/>
      <c r="F47" s="127"/>
      <c r="G47" s="127"/>
      <c r="H47" s="127"/>
      <c r="I47" s="127"/>
      <c r="J47" s="127"/>
      <c r="K47" s="127"/>
      <c r="L47" s="127"/>
      <c r="M47" s="127"/>
    </row>
    <row r="48" spans="1:13">
      <c r="A48" s="127">
        <v>45</v>
      </c>
      <c r="B48" s="127">
        <v>670</v>
      </c>
      <c r="C48" s="127">
        <v>35</v>
      </c>
      <c r="D48" s="127"/>
      <c r="E48" s="127"/>
      <c r="F48" s="127"/>
      <c r="G48" s="127"/>
      <c r="H48" s="127"/>
      <c r="I48" s="127"/>
      <c r="J48" s="127"/>
      <c r="K48" s="127"/>
      <c r="L48" s="127"/>
      <c r="M48" s="127"/>
    </row>
    <row r="49" spans="1:13">
      <c r="A49" s="127">
        <v>46</v>
      </c>
      <c r="B49" s="127">
        <v>670</v>
      </c>
      <c r="C49" s="127">
        <v>36</v>
      </c>
      <c r="D49" s="127"/>
      <c r="E49" s="127"/>
      <c r="F49" s="127"/>
      <c r="G49" s="127"/>
      <c r="H49" s="127"/>
      <c r="I49" s="127"/>
      <c r="J49" s="127"/>
      <c r="K49" s="127"/>
      <c r="L49" s="127"/>
      <c r="M49" s="127"/>
    </row>
    <row r="50" spans="1:13">
      <c r="A50" s="127">
        <v>47</v>
      </c>
      <c r="B50" s="127">
        <v>680</v>
      </c>
      <c r="C50" s="127">
        <v>37</v>
      </c>
      <c r="D50" s="127"/>
      <c r="E50" s="127"/>
      <c r="F50" s="127"/>
      <c r="G50" s="127"/>
      <c r="H50" s="127"/>
      <c r="I50" s="127"/>
      <c r="J50" s="127"/>
      <c r="K50" s="127"/>
      <c r="L50" s="127"/>
      <c r="M50" s="127"/>
    </row>
    <row r="51" spans="1:13">
      <c r="A51" s="127">
        <v>48</v>
      </c>
      <c r="B51" s="127">
        <v>690</v>
      </c>
      <c r="C51" s="127">
        <v>37</v>
      </c>
      <c r="D51" s="127"/>
      <c r="E51" s="127"/>
      <c r="F51" s="127"/>
      <c r="G51" s="127"/>
      <c r="H51" s="127"/>
      <c r="I51" s="127"/>
      <c r="J51" s="127"/>
      <c r="K51" s="127"/>
      <c r="L51" s="127"/>
      <c r="M51" s="127"/>
    </row>
    <row r="52" spans="1:13">
      <c r="A52" s="127">
        <v>49</v>
      </c>
      <c r="B52" s="127">
        <v>700</v>
      </c>
      <c r="C52" s="127">
        <v>38</v>
      </c>
      <c r="D52" s="127"/>
      <c r="E52" s="127"/>
      <c r="F52" s="127"/>
      <c r="G52" s="127"/>
      <c r="H52" s="127"/>
      <c r="I52" s="127"/>
      <c r="J52" s="127"/>
      <c r="K52" s="127"/>
      <c r="L52" s="127"/>
      <c r="M52" s="127"/>
    </row>
    <row r="53" spans="1:13">
      <c r="A53" s="127">
        <v>50</v>
      </c>
      <c r="B53" s="127">
        <v>710</v>
      </c>
      <c r="C53" s="127">
        <v>39</v>
      </c>
      <c r="D53" s="127"/>
      <c r="E53" s="127"/>
      <c r="F53" s="127"/>
      <c r="G53" s="127"/>
      <c r="H53" s="127"/>
      <c r="I53" s="127"/>
      <c r="J53" s="127"/>
      <c r="K53" s="127"/>
      <c r="L53" s="127"/>
      <c r="M53" s="127"/>
    </row>
    <row r="54" spans="1:13">
      <c r="A54" s="127">
        <v>51</v>
      </c>
      <c r="B54" s="127">
        <v>720</v>
      </c>
      <c r="C54" s="127">
        <v>40</v>
      </c>
      <c r="D54" s="127"/>
      <c r="E54" s="127"/>
      <c r="F54" s="127"/>
      <c r="G54" s="127"/>
      <c r="H54" s="127"/>
      <c r="I54" s="127"/>
      <c r="J54" s="127"/>
      <c r="K54" s="127"/>
      <c r="L54" s="127"/>
      <c r="M54" s="127"/>
    </row>
    <row r="55" spans="1:13">
      <c r="A55" s="127">
        <v>52</v>
      </c>
      <c r="B55" s="127">
        <v>730</v>
      </c>
      <c r="C55" s="127">
        <v>40</v>
      </c>
      <c r="D55" s="127"/>
      <c r="E55" s="127"/>
      <c r="F55" s="127"/>
      <c r="G55" s="127"/>
      <c r="H55" s="127"/>
      <c r="I55" s="127"/>
      <c r="J55" s="127"/>
      <c r="K55" s="127"/>
      <c r="L55" s="127"/>
      <c r="M55" s="127"/>
    </row>
    <row r="56" spans="1:13">
      <c r="A56" s="127">
        <v>53</v>
      </c>
      <c r="B56" s="127">
        <v>740</v>
      </c>
      <c r="C56" s="127"/>
      <c r="D56" s="127"/>
      <c r="E56" s="127"/>
      <c r="F56" s="127"/>
      <c r="G56" s="127"/>
      <c r="H56" s="127"/>
      <c r="I56" s="127"/>
      <c r="J56" s="127"/>
      <c r="K56" s="127"/>
      <c r="L56" s="127"/>
      <c r="M56" s="127"/>
    </row>
    <row r="57" spans="1:13">
      <c r="A57" s="127">
        <v>54</v>
      </c>
      <c r="B57" s="127">
        <v>760</v>
      </c>
      <c r="C57" s="127"/>
      <c r="D57" s="127"/>
      <c r="E57" s="127"/>
      <c r="F57" s="127"/>
      <c r="G57" s="127"/>
      <c r="H57" s="127"/>
      <c r="I57" s="127"/>
      <c r="J57" s="127"/>
      <c r="K57" s="127"/>
      <c r="L57" s="127"/>
      <c r="M57" s="127"/>
    </row>
    <row r="58" spans="1:13">
      <c r="A58" s="127">
        <v>55</v>
      </c>
      <c r="B58" s="127">
        <v>770</v>
      </c>
      <c r="C58" s="127"/>
      <c r="D58" s="127"/>
      <c r="E58" s="127"/>
      <c r="F58" s="127"/>
      <c r="G58" s="127"/>
      <c r="H58" s="127"/>
      <c r="I58" s="127"/>
      <c r="J58" s="127"/>
      <c r="K58" s="127"/>
      <c r="L58" s="127"/>
      <c r="M58" s="127"/>
    </row>
    <row r="59" spans="1:13">
      <c r="A59" s="127">
        <v>56</v>
      </c>
      <c r="B59" s="127">
        <v>780</v>
      </c>
      <c r="C59" s="127"/>
      <c r="D59" s="127"/>
      <c r="E59" s="127"/>
      <c r="F59" s="127"/>
      <c r="G59" s="127"/>
      <c r="H59" s="127"/>
      <c r="I59" s="127"/>
      <c r="J59" s="127"/>
      <c r="K59" s="127"/>
      <c r="L59" s="127"/>
      <c r="M59" s="127"/>
    </row>
    <row r="60" spans="1:13">
      <c r="A60" s="127">
        <v>57</v>
      </c>
      <c r="B60" s="127">
        <v>790</v>
      </c>
      <c r="C60" s="127"/>
      <c r="D60" s="127"/>
      <c r="E60" s="127"/>
      <c r="F60" s="127"/>
      <c r="G60" s="127"/>
      <c r="H60" s="127"/>
      <c r="I60" s="127"/>
      <c r="J60" s="127"/>
      <c r="K60" s="127"/>
      <c r="L60" s="127"/>
      <c r="M60" s="127"/>
    </row>
    <row r="61" spans="1:13">
      <c r="A61" s="127">
        <v>58</v>
      </c>
      <c r="B61" s="127">
        <v>800</v>
      </c>
      <c r="C61" s="127"/>
      <c r="D61" s="127"/>
      <c r="E61" s="127"/>
      <c r="F61" s="127"/>
      <c r="G61" s="127"/>
      <c r="H61" s="127"/>
      <c r="I61" s="127"/>
      <c r="J61" s="127"/>
      <c r="K61" s="127"/>
      <c r="L61" s="127"/>
      <c r="M61" s="127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6"/>
  <dimension ref="A1:M61"/>
  <sheetViews>
    <sheetView topLeftCell="A46" workbookViewId="0">
      <selection activeCell="A3" sqref="A3:M61"/>
    </sheetView>
  </sheetViews>
  <sheetFormatPr defaultColWidth="9.140625" defaultRowHeight="15"/>
  <cols>
    <col min="1" max="3" width="11.140625" style="280" customWidth="1"/>
    <col min="4" max="4" width="11.28515625" style="280" customWidth="1"/>
    <col min="5" max="5" width="10.85546875" style="75" customWidth="1"/>
    <col min="6" max="10" width="9.140625" style="75"/>
    <col min="11" max="11" width="10.28515625" style="75" customWidth="1"/>
    <col min="12" max="16384" width="9.140625" style="75"/>
  </cols>
  <sheetData>
    <row r="1" spans="1:13" ht="36">
      <c r="A1" s="128" t="s">
        <v>213</v>
      </c>
    </row>
    <row r="2" spans="1:13" ht="42.75" customHeight="1">
      <c r="A2" s="92" t="s">
        <v>126</v>
      </c>
      <c r="B2" s="92" t="s">
        <v>133</v>
      </c>
      <c r="C2" s="92" t="s">
        <v>134</v>
      </c>
      <c r="D2" s="92" t="s">
        <v>135</v>
      </c>
      <c r="E2" s="92" t="s">
        <v>61</v>
      </c>
      <c r="F2" s="92" t="s">
        <v>65</v>
      </c>
      <c r="G2" s="92" t="s">
        <v>71</v>
      </c>
      <c r="H2" s="92" t="s">
        <v>96</v>
      </c>
      <c r="I2" s="92" t="s">
        <v>141</v>
      </c>
      <c r="J2" s="92" t="s">
        <v>139</v>
      </c>
      <c r="K2" s="92" t="s">
        <v>140</v>
      </c>
      <c r="L2" s="92" t="s">
        <v>143</v>
      </c>
      <c r="M2" s="92" t="s">
        <v>144</v>
      </c>
    </row>
    <row r="3" spans="1:13">
      <c r="A3" s="127">
        <v>0</v>
      </c>
      <c r="B3" s="127">
        <v>200</v>
      </c>
      <c r="C3" s="127">
        <v>10</v>
      </c>
      <c r="D3" s="127">
        <v>10</v>
      </c>
      <c r="E3" s="127">
        <v>1</v>
      </c>
      <c r="F3" s="127">
        <v>1</v>
      </c>
      <c r="G3" s="127">
        <v>1</v>
      </c>
      <c r="H3" s="127">
        <v>1</v>
      </c>
      <c r="I3" s="127">
        <v>1</v>
      </c>
      <c r="J3" s="127">
        <v>1</v>
      </c>
      <c r="K3" s="127">
        <v>1</v>
      </c>
      <c r="L3" s="127">
        <v>10</v>
      </c>
      <c r="M3" s="127">
        <v>10</v>
      </c>
    </row>
    <row r="4" spans="1:13">
      <c r="A4" s="127">
        <v>1</v>
      </c>
      <c r="B4" s="127">
        <v>200</v>
      </c>
      <c r="C4" s="127">
        <v>10</v>
      </c>
      <c r="D4" s="127">
        <v>10</v>
      </c>
      <c r="E4" s="127">
        <v>1</v>
      </c>
      <c r="F4" s="127">
        <v>1</v>
      </c>
      <c r="G4" s="127">
        <v>2</v>
      </c>
      <c r="H4" s="127">
        <v>1</v>
      </c>
      <c r="I4" s="127">
        <v>3</v>
      </c>
      <c r="J4" s="127">
        <v>1</v>
      </c>
      <c r="K4" s="127">
        <v>2</v>
      </c>
      <c r="L4" s="127">
        <v>10</v>
      </c>
      <c r="M4" s="127">
        <v>10</v>
      </c>
    </row>
    <row r="5" spans="1:13">
      <c r="A5" s="127">
        <v>2</v>
      </c>
      <c r="B5" s="127">
        <v>210</v>
      </c>
      <c r="C5" s="127">
        <v>10</v>
      </c>
      <c r="D5" s="127">
        <v>10</v>
      </c>
      <c r="E5" s="127">
        <v>1</v>
      </c>
      <c r="F5" s="127">
        <v>1</v>
      </c>
      <c r="G5" s="127">
        <v>3</v>
      </c>
      <c r="H5" s="127">
        <v>1</v>
      </c>
      <c r="I5" s="127">
        <v>4</v>
      </c>
      <c r="J5" s="127">
        <v>1</v>
      </c>
      <c r="K5" s="127">
        <v>3</v>
      </c>
      <c r="L5" s="127">
        <v>10</v>
      </c>
      <c r="M5" s="127">
        <v>12</v>
      </c>
    </row>
    <row r="6" spans="1:13">
      <c r="A6" s="127">
        <v>3</v>
      </c>
      <c r="B6" s="127">
        <v>230</v>
      </c>
      <c r="C6" s="127">
        <v>10</v>
      </c>
      <c r="D6" s="127">
        <v>10</v>
      </c>
      <c r="E6" s="127">
        <v>2</v>
      </c>
      <c r="F6" s="127">
        <v>1</v>
      </c>
      <c r="G6" s="127">
        <v>4</v>
      </c>
      <c r="H6" s="127">
        <v>2</v>
      </c>
      <c r="I6" s="127">
        <v>5</v>
      </c>
      <c r="J6" s="127">
        <v>2</v>
      </c>
      <c r="K6" s="127">
        <v>4</v>
      </c>
      <c r="L6" s="127">
        <v>11</v>
      </c>
      <c r="M6" s="127">
        <v>13</v>
      </c>
    </row>
    <row r="7" spans="1:13">
      <c r="A7" s="127">
        <v>4</v>
      </c>
      <c r="B7" s="127">
        <v>250</v>
      </c>
      <c r="C7" s="127">
        <v>11</v>
      </c>
      <c r="D7" s="127">
        <v>11</v>
      </c>
      <c r="E7" s="127">
        <v>3</v>
      </c>
      <c r="F7" s="127">
        <v>2</v>
      </c>
      <c r="G7" s="127">
        <v>5</v>
      </c>
      <c r="H7" s="127">
        <v>3</v>
      </c>
      <c r="I7" s="127">
        <v>6</v>
      </c>
      <c r="J7" s="127">
        <v>3</v>
      </c>
      <c r="K7" s="127">
        <v>4</v>
      </c>
      <c r="L7" s="127">
        <v>13</v>
      </c>
      <c r="M7" s="127">
        <v>14</v>
      </c>
    </row>
    <row r="8" spans="1:13">
      <c r="A8" s="127">
        <v>5</v>
      </c>
      <c r="B8" s="127">
        <v>260</v>
      </c>
      <c r="C8" s="127">
        <v>11</v>
      </c>
      <c r="D8" s="127">
        <v>12</v>
      </c>
      <c r="E8" s="127">
        <v>4</v>
      </c>
      <c r="F8" s="127">
        <v>3</v>
      </c>
      <c r="G8" s="127">
        <v>6</v>
      </c>
      <c r="H8" s="127">
        <v>4</v>
      </c>
      <c r="I8" s="127">
        <v>7</v>
      </c>
      <c r="J8" s="127">
        <v>4</v>
      </c>
      <c r="K8" s="127">
        <v>5</v>
      </c>
      <c r="L8" s="127">
        <v>14</v>
      </c>
      <c r="M8" s="127">
        <v>15</v>
      </c>
    </row>
    <row r="9" spans="1:13">
      <c r="A9" s="127">
        <v>6</v>
      </c>
      <c r="B9" s="127">
        <v>270</v>
      </c>
      <c r="C9" s="127">
        <v>12</v>
      </c>
      <c r="D9" s="127">
        <v>13</v>
      </c>
      <c r="E9" s="127">
        <v>4</v>
      </c>
      <c r="F9" s="127">
        <v>4</v>
      </c>
      <c r="G9" s="127">
        <v>7</v>
      </c>
      <c r="H9" s="127">
        <v>5</v>
      </c>
      <c r="I9" s="127">
        <v>8</v>
      </c>
      <c r="J9" s="127">
        <v>5</v>
      </c>
      <c r="K9" s="127">
        <v>6</v>
      </c>
      <c r="L9" s="127">
        <v>15</v>
      </c>
      <c r="M9" s="127">
        <v>16</v>
      </c>
    </row>
    <row r="10" spans="1:13">
      <c r="A10" s="127">
        <v>7</v>
      </c>
      <c r="B10" s="127">
        <v>290</v>
      </c>
      <c r="C10" s="127">
        <v>13</v>
      </c>
      <c r="D10" s="127">
        <v>13</v>
      </c>
      <c r="E10" s="127">
        <v>5</v>
      </c>
      <c r="F10" s="127">
        <v>4</v>
      </c>
      <c r="G10" s="127">
        <v>7</v>
      </c>
      <c r="H10" s="127">
        <v>6</v>
      </c>
      <c r="I10" s="127">
        <v>9</v>
      </c>
      <c r="J10" s="127">
        <v>6</v>
      </c>
      <c r="K10" s="127">
        <v>6</v>
      </c>
      <c r="L10" s="127">
        <v>16</v>
      </c>
      <c r="M10" s="127">
        <v>17</v>
      </c>
    </row>
    <row r="11" spans="1:13">
      <c r="A11" s="127">
        <v>8</v>
      </c>
      <c r="B11" s="127">
        <v>300</v>
      </c>
      <c r="C11" s="127">
        <v>14</v>
      </c>
      <c r="D11" s="127">
        <v>14</v>
      </c>
      <c r="E11" s="127">
        <v>6</v>
      </c>
      <c r="F11" s="127">
        <v>5</v>
      </c>
      <c r="G11" s="127">
        <v>8</v>
      </c>
      <c r="H11" s="127">
        <v>7</v>
      </c>
      <c r="I11" s="127">
        <v>9</v>
      </c>
      <c r="J11" s="127">
        <v>7</v>
      </c>
      <c r="K11" s="127">
        <v>7</v>
      </c>
      <c r="L11" s="127">
        <v>17</v>
      </c>
      <c r="M11" s="127">
        <v>18</v>
      </c>
    </row>
    <row r="12" spans="1:13">
      <c r="A12" s="127">
        <v>9</v>
      </c>
      <c r="B12" s="127">
        <v>320</v>
      </c>
      <c r="C12" s="127">
        <v>14</v>
      </c>
      <c r="D12" s="127">
        <v>15</v>
      </c>
      <c r="E12" s="127">
        <v>6</v>
      </c>
      <c r="F12" s="127">
        <v>6</v>
      </c>
      <c r="G12" s="127">
        <v>9</v>
      </c>
      <c r="H12" s="127">
        <v>8</v>
      </c>
      <c r="I12" s="127">
        <v>10</v>
      </c>
      <c r="J12" s="127">
        <v>7</v>
      </c>
      <c r="K12" s="127">
        <v>8</v>
      </c>
      <c r="L12" s="127">
        <v>18</v>
      </c>
      <c r="M12" s="127">
        <v>19</v>
      </c>
    </row>
    <row r="13" spans="1:13">
      <c r="A13" s="127">
        <v>10</v>
      </c>
      <c r="B13" s="127">
        <v>330</v>
      </c>
      <c r="C13" s="127">
        <v>15</v>
      </c>
      <c r="D13" s="127">
        <v>16</v>
      </c>
      <c r="E13" s="127">
        <v>7</v>
      </c>
      <c r="F13" s="127">
        <v>7</v>
      </c>
      <c r="G13" s="127">
        <v>9</v>
      </c>
      <c r="H13" s="127">
        <v>9</v>
      </c>
      <c r="I13" s="127">
        <v>11</v>
      </c>
      <c r="J13" s="127">
        <v>8</v>
      </c>
      <c r="K13" s="127">
        <v>8</v>
      </c>
      <c r="L13" s="127">
        <v>19</v>
      </c>
      <c r="M13" s="127">
        <v>20</v>
      </c>
    </row>
    <row r="14" spans="1:13">
      <c r="A14" s="127">
        <v>11</v>
      </c>
      <c r="B14" s="127">
        <v>340</v>
      </c>
      <c r="C14" s="127">
        <v>16</v>
      </c>
      <c r="D14" s="127">
        <v>16</v>
      </c>
      <c r="E14" s="127">
        <v>8</v>
      </c>
      <c r="F14" s="127">
        <v>7</v>
      </c>
      <c r="G14" s="127">
        <v>10</v>
      </c>
      <c r="H14" s="127">
        <v>10</v>
      </c>
      <c r="I14" s="127">
        <v>11</v>
      </c>
      <c r="J14" s="127">
        <v>9</v>
      </c>
      <c r="K14" s="127">
        <v>9</v>
      </c>
      <c r="L14" s="127">
        <v>20</v>
      </c>
      <c r="M14" s="127">
        <v>21</v>
      </c>
    </row>
    <row r="15" spans="1:13">
      <c r="A15" s="127">
        <v>12</v>
      </c>
      <c r="B15" s="127">
        <v>360</v>
      </c>
      <c r="C15" s="127">
        <v>16</v>
      </c>
      <c r="D15" s="127">
        <v>17</v>
      </c>
      <c r="E15" s="127">
        <v>8</v>
      </c>
      <c r="F15" s="127">
        <v>8</v>
      </c>
      <c r="G15" s="127">
        <v>10</v>
      </c>
      <c r="H15" s="127">
        <v>10</v>
      </c>
      <c r="I15" s="127">
        <v>12</v>
      </c>
      <c r="J15" s="127">
        <v>10</v>
      </c>
      <c r="K15" s="127">
        <v>10</v>
      </c>
      <c r="L15" s="127">
        <v>21</v>
      </c>
      <c r="M15" s="127">
        <v>21</v>
      </c>
    </row>
    <row r="16" spans="1:13">
      <c r="A16" s="127">
        <v>13</v>
      </c>
      <c r="B16" s="127">
        <v>370</v>
      </c>
      <c r="C16" s="127">
        <v>17</v>
      </c>
      <c r="D16" s="127">
        <v>18</v>
      </c>
      <c r="E16" s="127">
        <v>9</v>
      </c>
      <c r="F16" s="127">
        <v>9</v>
      </c>
      <c r="G16" s="127">
        <v>11</v>
      </c>
      <c r="H16" s="127">
        <v>11</v>
      </c>
      <c r="I16" s="127">
        <v>13</v>
      </c>
      <c r="J16" s="127">
        <v>11</v>
      </c>
      <c r="K16" s="127">
        <v>10</v>
      </c>
      <c r="L16" s="127">
        <v>22</v>
      </c>
      <c r="M16" s="127">
        <v>22</v>
      </c>
    </row>
    <row r="17" spans="1:13">
      <c r="A17" s="127">
        <v>14</v>
      </c>
      <c r="B17" s="127">
        <v>390</v>
      </c>
      <c r="C17" s="127">
        <v>17</v>
      </c>
      <c r="D17" s="127">
        <v>18</v>
      </c>
      <c r="E17" s="127">
        <v>9</v>
      </c>
      <c r="F17" s="127">
        <v>10</v>
      </c>
      <c r="G17" s="127">
        <v>11</v>
      </c>
      <c r="H17" s="127">
        <v>12</v>
      </c>
      <c r="I17" s="127">
        <v>14</v>
      </c>
      <c r="J17" s="127">
        <v>11</v>
      </c>
      <c r="K17" s="127">
        <v>11</v>
      </c>
      <c r="L17" s="127">
        <v>23</v>
      </c>
      <c r="M17" s="127">
        <v>23</v>
      </c>
    </row>
    <row r="18" spans="1:13">
      <c r="A18" s="127">
        <v>15</v>
      </c>
      <c r="B18" s="127">
        <v>400</v>
      </c>
      <c r="C18" s="127">
        <v>18</v>
      </c>
      <c r="D18" s="127">
        <v>19</v>
      </c>
      <c r="E18" s="127">
        <v>10</v>
      </c>
      <c r="F18" s="127">
        <v>11</v>
      </c>
      <c r="G18" s="127">
        <v>12</v>
      </c>
      <c r="H18" s="127">
        <v>13</v>
      </c>
      <c r="I18" s="127">
        <v>14</v>
      </c>
      <c r="J18" s="127">
        <v>12</v>
      </c>
      <c r="K18" s="127">
        <v>12</v>
      </c>
      <c r="L18" s="127">
        <v>24</v>
      </c>
      <c r="M18" s="127">
        <v>24</v>
      </c>
    </row>
    <row r="19" spans="1:13">
      <c r="A19" s="127">
        <v>16</v>
      </c>
      <c r="B19" s="127">
        <v>410</v>
      </c>
      <c r="C19" s="127">
        <v>18</v>
      </c>
      <c r="D19" s="127">
        <v>20</v>
      </c>
      <c r="E19" s="127">
        <v>10</v>
      </c>
      <c r="F19" s="127">
        <v>12</v>
      </c>
      <c r="G19" s="127">
        <v>13</v>
      </c>
      <c r="H19" s="127">
        <v>14</v>
      </c>
      <c r="I19" s="127">
        <v>15</v>
      </c>
      <c r="J19" s="127">
        <v>13</v>
      </c>
      <c r="K19" s="127">
        <v>13</v>
      </c>
      <c r="L19" s="127">
        <v>24</v>
      </c>
      <c r="M19" s="127">
        <v>24</v>
      </c>
    </row>
    <row r="20" spans="1:13">
      <c r="A20" s="127">
        <v>17</v>
      </c>
      <c r="B20" s="127">
        <v>420</v>
      </c>
      <c r="C20" s="127">
        <v>19</v>
      </c>
      <c r="D20" s="127">
        <v>20</v>
      </c>
      <c r="E20" s="127">
        <v>11</v>
      </c>
      <c r="F20" s="127">
        <v>13</v>
      </c>
      <c r="G20" s="127">
        <v>13</v>
      </c>
      <c r="H20" s="127">
        <v>15</v>
      </c>
      <c r="I20" s="127"/>
      <c r="J20" s="127">
        <v>14</v>
      </c>
      <c r="K20" s="127">
        <v>14</v>
      </c>
      <c r="L20" s="127">
        <v>25</v>
      </c>
      <c r="M20" s="127">
        <v>25</v>
      </c>
    </row>
    <row r="21" spans="1:13">
      <c r="A21" s="127">
        <v>18</v>
      </c>
      <c r="B21" s="127">
        <v>430</v>
      </c>
      <c r="C21" s="127">
        <v>20</v>
      </c>
      <c r="D21" s="127">
        <v>21</v>
      </c>
      <c r="E21" s="127">
        <v>12</v>
      </c>
      <c r="F21" s="127">
        <v>14</v>
      </c>
      <c r="G21" s="127">
        <v>14</v>
      </c>
      <c r="H21" s="127"/>
      <c r="I21" s="127"/>
      <c r="J21" s="127">
        <v>15</v>
      </c>
      <c r="K21" s="127">
        <v>15</v>
      </c>
      <c r="L21" s="127">
        <v>26</v>
      </c>
      <c r="M21" s="127">
        <v>26</v>
      </c>
    </row>
    <row r="22" spans="1:13">
      <c r="A22" s="127">
        <v>19</v>
      </c>
      <c r="B22" s="127">
        <v>440</v>
      </c>
      <c r="C22" s="127">
        <v>20</v>
      </c>
      <c r="D22" s="127">
        <v>22</v>
      </c>
      <c r="E22" s="127">
        <v>12</v>
      </c>
      <c r="F22" s="127">
        <v>15</v>
      </c>
      <c r="G22" s="127">
        <v>15</v>
      </c>
      <c r="H22" s="127"/>
      <c r="I22" s="127"/>
      <c r="J22" s="127"/>
      <c r="K22" s="127"/>
      <c r="L22" s="127">
        <v>27</v>
      </c>
      <c r="M22" s="127">
        <v>26</v>
      </c>
    </row>
    <row r="23" spans="1:13">
      <c r="A23" s="127">
        <v>20</v>
      </c>
      <c r="B23" s="127">
        <v>450</v>
      </c>
      <c r="C23" s="127">
        <v>21</v>
      </c>
      <c r="D23" s="127">
        <v>23</v>
      </c>
      <c r="E23" s="127">
        <v>13</v>
      </c>
      <c r="F23" s="127">
        <v>15</v>
      </c>
      <c r="G23" s="127"/>
      <c r="H23" s="127"/>
      <c r="I23" s="127"/>
      <c r="J23" s="127"/>
      <c r="K23" s="127"/>
      <c r="L23" s="127">
        <v>27</v>
      </c>
      <c r="M23" s="127">
        <v>27</v>
      </c>
    </row>
    <row r="24" spans="1:13">
      <c r="A24" s="127">
        <v>21</v>
      </c>
      <c r="B24" s="127">
        <v>460</v>
      </c>
      <c r="C24" s="127">
        <v>21</v>
      </c>
      <c r="D24" s="127">
        <v>23</v>
      </c>
      <c r="E24" s="127">
        <v>14</v>
      </c>
      <c r="F24" s="127"/>
      <c r="G24" s="127"/>
      <c r="H24" s="127"/>
      <c r="I24" s="127"/>
      <c r="J24" s="127"/>
      <c r="K24" s="127"/>
      <c r="L24" s="127">
        <v>28</v>
      </c>
      <c r="M24" s="127">
        <v>28</v>
      </c>
    </row>
    <row r="25" spans="1:13">
      <c r="A25" s="127">
        <v>22</v>
      </c>
      <c r="B25" s="127">
        <v>470</v>
      </c>
      <c r="C25" s="127">
        <v>22</v>
      </c>
      <c r="D25" s="127">
        <v>24</v>
      </c>
      <c r="E25" s="127">
        <v>14</v>
      </c>
      <c r="F25" s="127"/>
      <c r="G25" s="127"/>
      <c r="H25" s="127"/>
      <c r="I25" s="127"/>
      <c r="J25" s="127"/>
      <c r="K25" s="127"/>
      <c r="L25" s="127">
        <v>29</v>
      </c>
      <c r="M25" s="127">
        <v>28</v>
      </c>
    </row>
    <row r="26" spans="1:13">
      <c r="A26" s="127">
        <v>23</v>
      </c>
      <c r="B26" s="127">
        <v>480</v>
      </c>
      <c r="C26" s="127">
        <v>23</v>
      </c>
      <c r="D26" s="127">
        <v>25</v>
      </c>
      <c r="E26" s="127">
        <v>15</v>
      </c>
      <c r="F26" s="127"/>
      <c r="G26" s="127"/>
      <c r="H26" s="127"/>
      <c r="I26" s="127"/>
      <c r="J26" s="127"/>
      <c r="K26" s="127"/>
      <c r="L26" s="127">
        <v>29</v>
      </c>
      <c r="M26" s="127">
        <v>29</v>
      </c>
    </row>
    <row r="27" spans="1:13">
      <c r="A27" s="127">
        <v>24</v>
      </c>
      <c r="B27" s="127">
        <v>490</v>
      </c>
      <c r="C27" s="127">
        <v>23</v>
      </c>
      <c r="D27" s="127">
        <v>25</v>
      </c>
      <c r="E27" s="127">
        <v>15</v>
      </c>
      <c r="F27" s="127"/>
      <c r="G27" s="127"/>
      <c r="H27" s="127"/>
      <c r="I27" s="127"/>
      <c r="J27" s="127"/>
      <c r="K27" s="127"/>
      <c r="L27" s="127">
        <v>30</v>
      </c>
      <c r="M27" s="127">
        <v>30</v>
      </c>
    </row>
    <row r="28" spans="1:13">
      <c r="A28" s="127">
        <v>25</v>
      </c>
      <c r="B28" s="127">
        <v>500</v>
      </c>
      <c r="C28" s="127">
        <v>24</v>
      </c>
      <c r="D28" s="127">
        <v>26</v>
      </c>
      <c r="E28" s="127"/>
      <c r="F28" s="127"/>
      <c r="G28" s="127"/>
      <c r="H28" s="127"/>
      <c r="I28" s="127"/>
      <c r="J28" s="127"/>
      <c r="K28" s="127"/>
      <c r="L28" s="127">
        <v>30</v>
      </c>
      <c r="M28" s="127">
        <v>30</v>
      </c>
    </row>
    <row r="29" spans="1:13">
      <c r="A29" s="127">
        <v>26</v>
      </c>
      <c r="B29" s="127">
        <v>510</v>
      </c>
      <c r="C29" s="127">
        <v>24</v>
      </c>
      <c r="D29" s="127">
        <v>27</v>
      </c>
      <c r="E29" s="127"/>
      <c r="F29" s="127"/>
      <c r="G29" s="127"/>
      <c r="H29" s="127"/>
      <c r="I29" s="127"/>
      <c r="J29" s="127"/>
      <c r="K29" s="127"/>
      <c r="L29" s="127">
        <v>31</v>
      </c>
      <c r="M29" s="127">
        <v>31</v>
      </c>
    </row>
    <row r="30" spans="1:13">
      <c r="A30" s="127">
        <v>27</v>
      </c>
      <c r="B30" s="127">
        <v>510</v>
      </c>
      <c r="C30" s="127">
        <v>25</v>
      </c>
      <c r="D30" s="127">
        <v>28</v>
      </c>
      <c r="E30" s="127"/>
      <c r="F30" s="127"/>
      <c r="G30" s="127"/>
      <c r="H30" s="127"/>
      <c r="I30" s="127"/>
      <c r="J30" s="127"/>
      <c r="K30" s="127"/>
      <c r="L30" s="127">
        <v>32</v>
      </c>
      <c r="M30" s="127">
        <v>31</v>
      </c>
    </row>
    <row r="31" spans="1:13">
      <c r="A31" s="127">
        <v>28</v>
      </c>
      <c r="B31" s="127">
        <v>520</v>
      </c>
      <c r="C31" s="127">
        <v>25</v>
      </c>
      <c r="D31" s="127">
        <v>28</v>
      </c>
      <c r="E31" s="127"/>
      <c r="F31" s="127"/>
      <c r="G31" s="127"/>
      <c r="H31" s="127"/>
      <c r="I31" s="127"/>
      <c r="J31" s="127"/>
      <c r="K31" s="127"/>
      <c r="L31" s="127">
        <v>33</v>
      </c>
      <c r="M31" s="127">
        <v>32</v>
      </c>
    </row>
    <row r="32" spans="1:13">
      <c r="A32" s="127">
        <v>29</v>
      </c>
      <c r="B32" s="127">
        <v>530</v>
      </c>
      <c r="C32" s="127">
        <v>26</v>
      </c>
      <c r="D32" s="127">
        <v>29</v>
      </c>
      <c r="E32" s="127"/>
      <c r="F32" s="127"/>
      <c r="G32" s="127"/>
      <c r="H32" s="127"/>
      <c r="I32" s="127"/>
      <c r="J32" s="127"/>
      <c r="K32" s="127"/>
      <c r="L32" s="127">
        <v>33</v>
      </c>
      <c r="M32" s="127">
        <v>33</v>
      </c>
    </row>
    <row r="33" spans="1:13">
      <c r="A33" s="127">
        <v>30</v>
      </c>
      <c r="B33" s="127">
        <v>540</v>
      </c>
      <c r="C33" s="127">
        <v>26</v>
      </c>
      <c r="D33" s="127">
        <v>30</v>
      </c>
      <c r="E33" s="127"/>
      <c r="F33" s="127"/>
      <c r="G33" s="127"/>
      <c r="H33" s="127"/>
      <c r="I33" s="127"/>
      <c r="J33" s="127"/>
      <c r="K33" s="127"/>
      <c r="L33" s="127">
        <v>34</v>
      </c>
      <c r="M33" s="127">
        <v>34</v>
      </c>
    </row>
    <row r="34" spans="1:13">
      <c r="A34" s="127">
        <v>31</v>
      </c>
      <c r="B34" s="127">
        <v>540</v>
      </c>
      <c r="C34" s="127">
        <v>27</v>
      </c>
      <c r="D34" s="127">
        <v>30</v>
      </c>
      <c r="E34" s="127"/>
      <c r="F34" s="127"/>
      <c r="G34" s="127"/>
      <c r="H34" s="127"/>
      <c r="I34" s="127"/>
      <c r="J34" s="127"/>
      <c r="K34" s="127"/>
      <c r="L34" s="127">
        <v>35</v>
      </c>
      <c r="M34" s="127">
        <v>34</v>
      </c>
    </row>
    <row r="35" spans="1:13">
      <c r="A35" s="127">
        <v>32</v>
      </c>
      <c r="B35" s="127">
        <v>550</v>
      </c>
      <c r="C35" s="127">
        <v>28</v>
      </c>
      <c r="D35" s="127">
        <v>31</v>
      </c>
      <c r="E35" s="127"/>
      <c r="F35" s="127"/>
      <c r="G35" s="127"/>
      <c r="H35" s="127"/>
      <c r="I35" s="127"/>
      <c r="J35" s="127"/>
      <c r="K35" s="127"/>
      <c r="L35" s="127">
        <v>36</v>
      </c>
      <c r="M35" s="127">
        <v>35</v>
      </c>
    </row>
    <row r="36" spans="1:13">
      <c r="A36" s="127">
        <v>33</v>
      </c>
      <c r="B36" s="127">
        <v>560</v>
      </c>
      <c r="C36" s="127">
        <v>28</v>
      </c>
      <c r="D36" s="127">
        <v>32</v>
      </c>
      <c r="E36" s="127"/>
      <c r="F36" s="127"/>
      <c r="G36" s="127"/>
      <c r="H36" s="127"/>
      <c r="I36" s="127"/>
      <c r="J36" s="127"/>
      <c r="K36" s="127"/>
      <c r="L36" s="127">
        <v>37</v>
      </c>
      <c r="M36" s="127">
        <v>36</v>
      </c>
    </row>
    <row r="37" spans="1:13">
      <c r="A37" s="127">
        <v>34</v>
      </c>
      <c r="B37" s="127">
        <v>570</v>
      </c>
      <c r="C37" s="127">
        <v>29</v>
      </c>
      <c r="D37" s="127">
        <v>32</v>
      </c>
      <c r="E37" s="127"/>
      <c r="F37" s="127"/>
      <c r="G37" s="127"/>
      <c r="H37" s="127"/>
      <c r="I37" s="127"/>
      <c r="J37" s="127"/>
      <c r="K37" s="127"/>
      <c r="L37" s="127">
        <v>38</v>
      </c>
      <c r="M37" s="127">
        <v>38</v>
      </c>
    </row>
    <row r="38" spans="1:13">
      <c r="A38" s="127">
        <v>35</v>
      </c>
      <c r="B38" s="127">
        <v>580</v>
      </c>
      <c r="C38" s="127">
        <v>29</v>
      </c>
      <c r="D38" s="127">
        <v>33</v>
      </c>
      <c r="E38" s="127"/>
      <c r="F38" s="127"/>
      <c r="G38" s="127"/>
      <c r="H38" s="127"/>
      <c r="I38" s="127"/>
      <c r="J38" s="127"/>
      <c r="K38" s="127"/>
      <c r="L38" s="127">
        <v>40</v>
      </c>
      <c r="M38" s="127">
        <v>40</v>
      </c>
    </row>
    <row r="39" spans="1:13">
      <c r="A39" s="127">
        <v>36</v>
      </c>
      <c r="B39" s="127">
        <v>590</v>
      </c>
      <c r="C39" s="127">
        <v>29</v>
      </c>
      <c r="D39" s="127">
        <v>34</v>
      </c>
      <c r="E39" s="127"/>
      <c r="F39" s="127"/>
      <c r="G39" s="127"/>
      <c r="H39" s="127"/>
      <c r="I39" s="127"/>
      <c r="J39" s="127"/>
      <c r="K39" s="127"/>
      <c r="L39" s="127"/>
      <c r="M39" s="127"/>
    </row>
    <row r="40" spans="1:13">
      <c r="A40" s="127">
        <v>37</v>
      </c>
      <c r="B40" s="127">
        <v>600</v>
      </c>
      <c r="C40" s="127">
        <v>30</v>
      </c>
      <c r="D40" s="127">
        <v>34</v>
      </c>
      <c r="E40" s="127"/>
      <c r="F40" s="127"/>
      <c r="G40" s="127"/>
      <c r="H40" s="127"/>
      <c r="I40" s="127"/>
      <c r="J40" s="127"/>
      <c r="K40" s="127"/>
      <c r="L40" s="127"/>
      <c r="M40" s="127"/>
    </row>
    <row r="41" spans="1:13">
      <c r="A41" s="127">
        <v>38</v>
      </c>
      <c r="B41" s="127">
        <v>600</v>
      </c>
      <c r="C41" s="127">
        <v>30</v>
      </c>
      <c r="D41" s="127">
        <v>35</v>
      </c>
      <c r="E41" s="127"/>
      <c r="F41" s="127"/>
      <c r="G41" s="127"/>
      <c r="H41" s="127"/>
      <c r="I41" s="127"/>
      <c r="J41" s="127"/>
      <c r="K41" s="127"/>
      <c r="L41" s="127"/>
      <c r="M41" s="127"/>
    </row>
    <row r="42" spans="1:13">
      <c r="A42" s="127">
        <v>39</v>
      </c>
      <c r="B42" s="127">
        <v>610</v>
      </c>
      <c r="C42" s="127">
        <v>31</v>
      </c>
      <c r="D42" s="127">
        <v>36</v>
      </c>
      <c r="E42" s="127"/>
      <c r="F42" s="127"/>
      <c r="G42" s="127"/>
      <c r="H42" s="127"/>
      <c r="I42" s="127"/>
      <c r="J42" s="127"/>
      <c r="K42" s="127"/>
      <c r="L42" s="127"/>
      <c r="M42" s="127"/>
    </row>
    <row r="43" spans="1:13">
      <c r="A43" s="127">
        <v>40</v>
      </c>
      <c r="B43" s="127">
        <v>620</v>
      </c>
      <c r="C43" s="127">
        <v>31</v>
      </c>
      <c r="D43" s="127">
        <v>37</v>
      </c>
      <c r="E43" s="127"/>
      <c r="F43" s="127"/>
      <c r="G43" s="127"/>
      <c r="H43" s="127"/>
      <c r="I43" s="127"/>
      <c r="J43" s="127"/>
      <c r="K43" s="127"/>
      <c r="L43" s="127"/>
      <c r="M43" s="127"/>
    </row>
    <row r="44" spans="1:13">
      <c r="A44" s="127">
        <v>41</v>
      </c>
      <c r="B44" s="127">
        <v>630</v>
      </c>
      <c r="C44" s="127">
        <v>32</v>
      </c>
      <c r="D44" s="127">
        <v>38</v>
      </c>
      <c r="E44" s="127"/>
      <c r="F44" s="127"/>
      <c r="G44" s="127"/>
      <c r="H44" s="127"/>
      <c r="I44" s="127"/>
      <c r="J44" s="127"/>
      <c r="K44" s="127"/>
      <c r="L44" s="127"/>
      <c r="M44" s="127"/>
    </row>
    <row r="45" spans="1:13">
      <c r="A45" s="127">
        <v>42</v>
      </c>
      <c r="B45" s="127">
        <v>640</v>
      </c>
      <c r="C45" s="127">
        <v>32</v>
      </c>
      <c r="D45" s="127">
        <v>39</v>
      </c>
      <c r="E45" s="127"/>
      <c r="F45" s="127"/>
      <c r="G45" s="127"/>
      <c r="H45" s="127"/>
      <c r="I45" s="127"/>
      <c r="J45" s="127"/>
      <c r="K45" s="127"/>
      <c r="L45" s="127"/>
      <c r="M45" s="127"/>
    </row>
    <row r="46" spans="1:13">
      <c r="A46" s="127">
        <v>43</v>
      </c>
      <c r="B46" s="127">
        <v>650</v>
      </c>
      <c r="C46" s="127">
        <v>33</v>
      </c>
      <c r="D46" s="127">
        <v>40</v>
      </c>
      <c r="E46" s="127"/>
      <c r="F46" s="127"/>
      <c r="G46" s="127"/>
      <c r="H46" s="127"/>
      <c r="I46" s="127"/>
      <c r="J46" s="127"/>
      <c r="K46" s="127"/>
      <c r="L46" s="127"/>
      <c r="M46" s="127"/>
    </row>
    <row r="47" spans="1:13">
      <c r="A47" s="127">
        <v>44</v>
      </c>
      <c r="B47" s="127">
        <v>660</v>
      </c>
      <c r="C47" s="127">
        <v>33</v>
      </c>
      <c r="D47" s="127">
        <v>40</v>
      </c>
      <c r="E47" s="127"/>
      <c r="F47" s="127"/>
      <c r="G47" s="127"/>
      <c r="H47" s="127"/>
      <c r="I47" s="127"/>
      <c r="J47" s="127"/>
      <c r="K47" s="127"/>
      <c r="L47" s="127"/>
      <c r="M47" s="127"/>
    </row>
    <row r="48" spans="1:13">
      <c r="A48" s="127">
        <v>45</v>
      </c>
      <c r="B48" s="127">
        <v>660</v>
      </c>
      <c r="C48" s="127">
        <v>34</v>
      </c>
      <c r="D48" s="127"/>
      <c r="E48" s="127"/>
      <c r="F48" s="127"/>
      <c r="G48" s="127"/>
      <c r="H48" s="127"/>
      <c r="I48" s="127"/>
      <c r="J48" s="127"/>
      <c r="K48" s="127"/>
      <c r="L48" s="127"/>
      <c r="M48" s="127"/>
    </row>
    <row r="49" spans="1:13">
      <c r="A49" s="127">
        <v>46</v>
      </c>
      <c r="B49" s="127">
        <v>670</v>
      </c>
      <c r="C49" s="127">
        <v>35</v>
      </c>
      <c r="D49" s="127"/>
      <c r="E49" s="127"/>
      <c r="F49" s="127"/>
      <c r="G49" s="127"/>
      <c r="H49" s="127"/>
      <c r="I49" s="127"/>
      <c r="J49" s="127"/>
      <c r="K49" s="127"/>
      <c r="L49" s="127"/>
      <c r="M49" s="127"/>
    </row>
    <row r="50" spans="1:13">
      <c r="A50" s="127">
        <v>47</v>
      </c>
      <c r="B50" s="127">
        <v>680</v>
      </c>
      <c r="C50" s="127">
        <v>35</v>
      </c>
      <c r="D50" s="127"/>
      <c r="E50" s="127"/>
      <c r="F50" s="127"/>
      <c r="G50" s="127"/>
      <c r="H50" s="127"/>
      <c r="I50" s="127"/>
      <c r="J50" s="127"/>
      <c r="K50" s="127"/>
      <c r="L50" s="127"/>
      <c r="M50" s="127"/>
    </row>
    <row r="51" spans="1:13">
      <c r="A51" s="127">
        <v>48</v>
      </c>
      <c r="B51" s="127">
        <v>690</v>
      </c>
      <c r="C51" s="127">
        <v>36</v>
      </c>
      <c r="D51" s="127"/>
      <c r="E51" s="127"/>
      <c r="F51" s="127"/>
      <c r="G51" s="127"/>
      <c r="H51" s="127"/>
      <c r="I51" s="127"/>
      <c r="J51" s="127"/>
      <c r="K51" s="127"/>
      <c r="L51" s="127"/>
      <c r="M51" s="127"/>
    </row>
    <row r="52" spans="1:13">
      <c r="A52" s="127">
        <v>49</v>
      </c>
      <c r="B52" s="127">
        <v>700</v>
      </c>
      <c r="C52" s="127">
        <v>37</v>
      </c>
      <c r="D52" s="127"/>
      <c r="E52" s="127"/>
      <c r="F52" s="127"/>
      <c r="G52" s="127"/>
      <c r="H52" s="127"/>
      <c r="I52" s="127"/>
      <c r="J52" s="127"/>
      <c r="K52" s="127"/>
      <c r="L52" s="127"/>
      <c r="M52" s="127"/>
    </row>
    <row r="53" spans="1:13">
      <c r="A53" s="127">
        <v>50</v>
      </c>
      <c r="B53" s="127">
        <v>710</v>
      </c>
      <c r="C53" s="127">
        <v>37</v>
      </c>
      <c r="D53" s="127"/>
      <c r="E53" s="127"/>
      <c r="F53" s="127"/>
      <c r="G53" s="127"/>
      <c r="H53" s="127"/>
      <c r="I53" s="127"/>
      <c r="J53" s="127"/>
      <c r="K53" s="127"/>
      <c r="L53" s="127"/>
      <c r="M53" s="127"/>
    </row>
    <row r="54" spans="1:13">
      <c r="A54" s="127">
        <v>51</v>
      </c>
      <c r="B54" s="127">
        <v>710</v>
      </c>
      <c r="C54" s="127">
        <v>39</v>
      </c>
      <c r="D54" s="127"/>
      <c r="E54" s="127"/>
      <c r="F54" s="127"/>
      <c r="G54" s="127"/>
      <c r="H54" s="127"/>
      <c r="I54" s="127"/>
      <c r="J54" s="127"/>
      <c r="K54" s="127"/>
      <c r="L54" s="127"/>
      <c r="M54" s="127"/>
    </row>
    <row r="55" spans="1:13">
      <c r="A55" s="127">
        <v>52</v>
      </c>
      <c r="B55" s="127">
        <v>720</v>
      </c>
      <c r="C55" s="127">
        <v>40</v>
      </c>
      <c r="D55" s="127"/>
      <c r="E55" s="127"/>
      <c r="F55" s="127"/>
      <c r="G55" s="127"/>
      <c r="H55" s="127"/>
      <c r="I55" s="127"/>
      <c r="J55" s="127"/>
      <c r="K55" s="127"/>
      <c r="L55" s="127"/>
      <c r="M55" s="127"/>
    </row>
    <row r="56" spans="1:13">
      <c r="A56" s="127">
        <v>53</v>
      </c>
      <c r="B56" s="127">
        <v>730</v>
      </c>
      <c r="C56" s="127"/>
      <c r="D56" s="127"/>
      <c r="E56" s="127"/>
      <c r="F56" s="127"/>
      <c r="G56" s="127"/>
      <c r="H56" s="127"/>
      <c r="I56" s="127"/>
      <c r="J56" s="127"/>
      <c r="K56" s="127"/>
      <c r="L56" s="127"/>
      <c r="M56" s="127"/>
    </row>
    <row r="57" spans="1:13">
      <c r="A57" s="127">
        <v>54</v>
      </c>
      <c r="B57" s="127">
        <v>750</v>
      </c>
      <c r="C57" s="127"/>
      <c r="D57" s="127"/>
      <c r="E57" s="127"/>
      <c r="F57" s="127"/>
      <c r="G57" s="127"/>
      <c r="H57" s="127"/>
      <c r="I57" s="127"/>
      <c r="J57" s="127"/>
      <c r="K57" s="127"/>
      <c r="L57" s="127"/>
      <c r="M57" s="127"/>
    </row>
    <row r="58" spans="1:13">
      <c r="A58" s="127">
        <v>55</v>
      </c>
      <c r="B58" s="127">
        <v>760</v>
      </c>
      <c r="C58" s="127"/>
      <c r="D58" s="127"/>
      <c r="E58" s="127"/>
      <c r="F58" s="127"/>
      <c r="G58" s="127"/>
      <c r="H58" s="127"/>
      <c r="I58" s="127"/>
      <c r="J58" s="127"/>
      <c r="K58" s="127"/>
      <c r="L58" s="127"/>
      <c r="M58" s="127"/>
    </row>
    <row r="59" spans="1:13">
      <c r="A59" s="127">
        <v>56</v>
      </c>
      <c r="B59" s="127">
        <v>770</v>
      </c>
      <c r="C59" s="127"/>
      <c r="D59" s="127"/>
      <c r="E59" s="127"/>
      <c r="F59" s="127"/>
      <c r="G59" s="127"/>
      <c r="H59" s="127"/>
      <c r="I59" s="127"/>
      <c r="J59" s="127"/>
      <c r="K59" s="127"/>
      <c r="L59" s="127"/>
      <c r="M59" s="127"/>
    </row>
    <row r="60" spans="1:13">
      <c r="A60" s="127">
        <v>57</v>
      </c>
      <c r="B60" s="127">
        <v>790</v>
      </c>
      <c r="C60" s="127"/>
      <c r="D60" s="127"/>
      <c r="E60" s="127"/>
      <c r="F60" s="127"/>
      <c r="G60" s="127"/>
      <c r="H60" s="127"/>
      <c r="I60" s="127"/>
      <c r="J60" s="127"/>
      <c r="K60" s="127"/>
      <c r="L60" s="127"/>
      <c r="M60" s="127"/>
    </row>
    <row r="61" spans="1:13">
      <c r="A61" s="127">
        <v>58</v>
      </c>
      <c r="B61" s="127">
        <v>800</v>
      </c>
      <c r="C61" s="127"/>
      <c r="D61" s="127"/>
      <c r="E61" s="127"/>
      <c r="F61" s="127"/>
      <c r="G61" s="127"/>
      <c r="H61" s="127"/>
      <c r="I61" s="127"/>
      <c r="J61" s="127"/>
      <c r="K61" s="127"/>
      <c r="L61" s="127"/>
      <c r="M61" s="127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1"/>
  <dimension ref="A1:M61"/>
  <sheetViews>
    <sheetView workbookViewId="0">
      <selection activeCell="M61" sqref="A3:M61"/>
    </sheetView>
  </sheetViews>
  <sheetFormatPr defaultColWidth="9.140625" defaultRowHeight="15"/>
  <cols>
    <col min="1" max="3" width="11.140625" style="210" customWidth="1"/>
    <col min="4" max="4" width="11.28515625" style="210" customWidth="1"/>
    <col min="5" max="5" width="10.85546875" style="75" customWidth="1"/>
    <col min="6" max="10" width="9.140625" style="75"/>
    <col min="11" max="11" width="10.28515625" style="75" customWidth="1"/>
    <col min="12" max="16384" width="9.140625" style="75"/>
  </cols>
  <sheetData>
    <row r="1" spans="1:13" ht="36">
      <c r="A1" s="128" t="s">
        <v>9</v>
      </c>
    </row>
    <row r="2" spans="1:13" ht="42.75" customHeight="1">
      <c r="A2" s="92" t="s">
        <v>126</v>
      </c>
      <c r="B2" s="92" t="s">
        <v>133</v>
      </c>
      <c r="C2" s="92" t="s">
        <v>134</v>
      </c>
      <c r="D2" s="92" t="s">
        <v>135</v>
      </c>
      <c r="E2" s="92" t="s">
        <v>61</v>
      </c>
      <c r="F2" s="92" t="s">
        <v>65</v>
      </c>
      <c r="G2" s="92" t="s">
        <v>71</v>
      </c>
      <c r="H2" s="92" t="s">
        <v>96</v>
      </c>
      <c r="I2" s="92" t="s">
        <v>141</v>
      </c>
      <c r="J2" s="92" t="s">
        <v>139</v>
      </c>
      <c r="K2" s="92" t="s">
        <v>140</v>
      </c>
      <c r="L2" s="92" t="s">
        <v>143</v>
      </c>
      <c r="M2" s="92" t="s">
        <v>144</v>
      </c>
    </row>
    <row r="3" spans="1:13">
      <c r="A3" s="127">
        <v>0</v>
      </c>
      <c r="B3" s="127">
        <v>200</v>
      </c>
      <c r="C3" s="127">
        <v>10</v>
      </c>
      <c r="D3" s="127">
        <v>10</v>
      </c>
      <c r="E3" s="127">
        <v>1</v>
      </c>
      <c r="F3" s="127">
        <v>1</v>
      </c>
      <c r="G3" s="127">
        <v>1</v>
      </c>
      <c r="H3" s="127">
        <v>1</v>
      </c>
      <c r="I3" s="127">
        <v>1</v>
      </c>
      <c r="J3" s="127">
        <v>1</v>
      </c>
      <c r="K3" s="127">
        <v>1</v>
      </c>
      <c r="L3" s="127">
        <v>10</v>
      </c>
      <c r="M3" s="127">
        <v>10</v>
      </c>
    </row>
    <row r="4" spans="1:13">
      <c r="A4" s="127">
        <v>1</v>
      </c>
      <c r="B4" s="127">
        <v>200</v>
      </c>
      <c r="C4" s="127">
        <v>10</v>
      </c>
      <c r="D4" s="127">
        <v>10</v>
      </c>
      <c r="E4" s="127">
        <v>1</v>
      </c>
      <c r="F4" s="127">
        <v>1</v>
      </c>
      <c r="G4" s="127">
        <v>1</v>
      </c>
      <c r="H4" s="127">
        <v>1</v>
      </c>
      <c r="I4" s="127">
        <v>3</v>
      </c>
      <c r="J4" s="127">
        <v>1</v>
      </c>
      <c r="K4" s="127">
        <v>1</v>
      </c>
      <c r="L4" s="127">
        <v>10</v>
      </c>
      <c r="M4" s="127">
        <v>11</v>
      </c>
    </row>
    <row r="5" spans="1:13">
      <c r="A5" s="127">
        <v>2</v>
      </c>
      <c r="B5" s="127">
        <v>210</v>
      </c>
      <c r="C5" s="127">
        <v>10</v>
      </c>
      <c r="D5" s="127">
        <v>10</v>
      </c>
      <c r="E5" s="127">
        <v>1</v>
      </c>
      <c r="F5" s="127">
        <v>1</v>
      </c>
      <c r="G5" s="127">
        <v>2</v>
      </c>
      <c r="H5" s="127">
        <v>2</v>
      </c>
      <c r="I5" s="127">
        <v>5</v>
      </c>
      <c r="J5" s="127">
        <v>2</v>
      </c>
      <c r="K5" s="127">
        <v>2</v>
      </c>
      <c r="L5" s="127">
        <v>10</v>
      </c>
      <c r="M5" s="127">
        <v>12</v>
      </c>
    </row>
    <row r="6" spans="1:13">
      <c r="A6" s="127">
        <v>3</v>
      </c>
      <c r="B6" s="127">
        <v>230</v>
      </c>
      <c r="C6" s="127">
        <v>11</v>
      </c>
      <c r="D6" s="127">
        <v>11</v>
      </c>
      <c r="E6" s="127">
        <v>2</v>
      </c>
      <c r="F6" s="127">
        <v>2</v>
      </c>
      <c r="G6" s="127">
        <v>3</v>
      </c>
      <c r="H6" s="127">
        <v>3</v>
      </c>
      <c r="I6" s="127">
        <v>6</v>
      </c>
      <c r="J6" s="127">
        <v>3</v>
      </c>
      <c r="K6" s="127">
        <v>3</v>
      </c>
      <c r="L6" s="127">
        <v>12</v>
      </c>
      <c r="M6" s="127">
        <v>13</v>
      </c>
    </row>
    <row r="7" spans="1:13">
      <c r="A7" s="127">
        <v>4</v>
      </c>
      <c r="B7" s="127">
        <v>250</v>
      </c>
      <c r="C7" s="127">
        <v>12</v>
      </c>
      <c r="D7" s="127">
        <v>12</v>
      </c>
      <c r="E7" s="127">
        <v>3</v>
      </c>
      <c r="F7" s="127">
        <v>2</v>
      </c>
      <c r="G7" s="127">
        <v>4</v>
      </c>
      <c r="H7" s="127">
        <v>4</v>
      </c>
      <c r="I7" s="127">
        <v>7</v>
      </c>
      <c r="J7" s="127">
        <v>4</v>
      </c>
      <c r="K7" s="127">
        <v>4</v>
      </c>
      <c r="L7" s="127">
        <v>13</v>
      </c>
      <c r="M7" s="127">
        <v>14</v>
      </c>
    </row>
    <row r="8" spans="1:13">
      <c r="A8" s="127">
        <v>5</v>
      </c>
      <c r="B8" s="127">
        <v>270</v>
      </c>
      <c r="C8" s="127">
        <v>13</v>
      </c>
      <c r="D8" s="127">
        <v>13</v>
      </c>
      <c r="E8" s="127">
        <v>4</v>
      </c>
      <c r="F8" s="127">
        <v>3</v>
      </c>
      <c r="G8" s="127">
        <v>5</v>
      </c>
      <c r="H8" s="127">
        <v>5</v>
      </c>
      <c r="I8" s="127">
        <v>8</v>
      </c>
      <c r="J8" s="127">
        <v>5</v>
      </c>
      <c r="K8" s="127">
        <v>5</v>
      </c>
      <c r="L8" s="127">
        <v>15</v>
      </c>
      <c r="M8" s="127">
        <v>15</v>
      </c>
    </row>
    <row r="9" spans="1:13">
      <c r="A9" s="127">
        <v>6</v>
      </c>
      <c r="B9" s="127">
        <v>290</v>
      </c>
      <c r="C9" s="127">
        <v>14</v>
      </c>
      <c r="D9" s="127">
        <v>14</v>
      </c>
      <c r="E9" s="127">
        <v>5</v>
      </c>
      <c r="F9" s="127">
        <v>4</v>
      </c>
      <c r="G9" s="127">
        <v>6</v>
      </c>
      <c r="H9" s="127">
        <v>6</v>
      </c>
      <c r="I9" s="127">
        <v>9</v>
      </c>
      <c r="J9" s="127">
        <v>6</v>
      </c>
      <c r="K9" s="127">
        <v>6</v>
      </c>
      <c r="L9" s="127">
        <v>16</v>
      </c>
      <c r="M9" s="127">
        <v>16</v>
      </c>
    </row>
    <row r="10" spans="1:13">
      <c r="A10" s="127">
        <v>7</v>
      </c>
      <c r="B10" s="127">
        <v>300</v>
      </c>
      <c r="C10" s="127">
        <v>15</v>
      </c>
      <c r="D10" s="127">
        <v>14</v>
      </c>
      <c r="E10" s="127">
        <v>6</v>
      </c>
      <c r="F10" s="127">
        <v>5</v>
      </c>
      <c r="G10" s="127">
        <v>6</v>
      </c>
      <c r="H10" s="127">
        <v>7</v>
      </c>
      <c r="I10" s="127">
        <v>10</v>
      </c>
      <c r="J10" s="127">
        <v>6</v>
      </c>
      <c r="K10" s="127">
        <v>7</v>
      </c>
      <c r="L10" s="127">
        <v>16</v>
      </c>
      <c r="M10" s="127">
        <v>17</v>
      </c>
    </row>
    <row r="11" spans="1:13">
      <c r="A11" s="127">
        <v>8</v>
      </c>
      <c r="B11" s="127">
        <v>320</v>
      </c>
      <c r="C11" s="127">
        <v>15</v>
      </c>
      <c r="D11" s="127">
        <v>15</v>
      </c>
      <c r="E11" s="127">
        <v>6</v>
      </c>
      <c r="F11" s="127">
        <v>6</v>
      </c>
      <c r="G11" s="127">
        <v>7</v>
      </c>
      <c r="H11" s="127">
        <v>8</v>
      </c>
      <c r="I11" s="127">
        <v>11</v>
      </c>
      <c r="J11" s="127">
        <v>7</v>
      </c>
      <c r="K11" s="127">
        <v>8</v>
      </c>
      <c r="L11" s="127">
        <v>17</v>
      </c>
      <c r="M11" s="127">
        <v>18</v>
      </c>
    </row>
    <row r="12" spans="1:13">
      <c r="A12" s="127">
        <v>9</v>
      </c>
      <c r="B12" s="127">
        <v>330</v>
      </c>
      <c r="C12" s="127">
        <v>16</v>
      </c>
      <c r="D12" s="127">
        <v>16</v>
      </c>
      <c r="E12" s="127">
        <v>7</v>
      </c>
      <c r="F12" s="127">
        <v>6</v>
      </c>
      <c r="G12" s="127">
        <v>8</v>
      </c>
      <c r="H12" s="127">
        <v>8</v>
      </c>
      <c r="I12" s="127">
        <v>11</v>
      </c>
      <c r="J12" s="127">
        <v>8</v>
      </c>
      <c r="K12" s="127">
        <v>8</v>
      </c>
      <c r="L12" s="127">
        <v>18</v>
      </c>
      <c r="M12" s="127">
        <v>19</v>
      </c>
    </row>
    <row r="13" spans="1:13">
      <c r="A13" s="127">
        <v>10</v>
      </c>
      <c r="B13" s="127">
        <v>340</v>
      </c>
      <c r="C13" s="127">
        <v>17</v>
      </c>
      <c r="D13" s="127">
        <v>17</v>
      </c>
      <c r="E13" s="127">
        <v>7</v>
      </c>
      <c r="F13" s="127">
        <v>7</v>
      </c>
      <c r="G13" s="127">
        <v>8</v>
      </c>
      <c r="H13" s="127">
        <v>9</v>
      </c>
      <c r="I13" s="127">
        <v>12</v>
      </c>
      <c r="J13" s="127">
        <v>8</v>
      </c>
      <c r="K13" s="127">
        <v>9</v>
      </c>
      <c r="L13" s="127">
        <v>19</v>
      </c>
      <c r="M13" s="127">
        <v>19</v>
      </c>
    </row>
    <row r="14" spans="1:13">
      <c r="A14" s="127">
        <v>11</v>
      </c>
      <c r="B14" s="127">
        <v>360</v>
      </c>
      <c r="C14" s="127">
        <v>18</v>
      </c>
      <c r="D14" s="127">
        <v>17</v>
      </c>
      <c r="E14" s="127">
        <v>8</v>
      </c>
      <c r="F14" s="127">
        <v>7</v>
      </c>
      <c r="G14" s="127">
        <v>9</v>
      </c>
      <c r="H14" s="127">
        <v>10</v>
      </c>
      <c r="I14" s="127">
        <v>12</v>
      </c>
      <c r="J14" s="127">
        <v>9</v>
      </c>
      <c r="K14" s="127">
        <v>10</v>
      </c>
      <c r="L14" s="127">
        <v>20</v>
      </c>
      <c r="M14" s="127">
        <v>20</v>
      </c>
    </row>
    <row r="15" spans="1:13">
      <c r="A15" s="127">
        <v>12</v>
      </c>
      <c r="B15" s="127">
        <v>370</v>
      </c>
      <c r="C15" s="127">
        <v>18</v>
      </c>
      <c r="D15" s="127">
        <v>18</v>
      </c>
      <c r="E15" s="127">
        <v>8</v>
      </c>
      <c r="F15" s="127">
        <v>8</v>
      </c>
      <c r="G15" s="127">
        <v>9</v>
      </c>
      <c r="H15" s="127">
        <v>10</v>
      </c>
      <c r="I15" s="127">
        <v>13</v>
      </c>
      <c r="J15" s="127">
        <v>9</v>
      </c>
      <c r="K15" s="127">
        <v>10</v>
      </c>
      <c r="L15" s="127">
        <v>21</v>
      </c>
      <c r="M15" s="127">
        <v>21</v>
      </c>
    </row>
    <row r="16" spans="1:13">
      <c r="A16" s="127">
        <v>13</v>
      </c>
      <c r="B16" s="127">
        <v>380</v>
      </c>
      <c r="C16" s="127">
        <v>19</v>
      </c>
      <c r="D16" s="127">
        <v>18</v>
      </c>
      <c r="E16" s="127">
        <v>9</v>
      </c>
      <c r="F16" s="127">
        <v>8</v>
      </c>
      <c r="G16" s="127">
        <v>9</v>
      </c>
      <c r="H16" s="127">
        <v>11</v>
      </c>
      <c r="I16" s="127">
        <v>13</v>
      </c>
      <c r="J16" s="127">
        <v>10</v>
      </c>
      <c r="K16" s="127">
        <v>11</v>
      </c>
      <c r="L16" s="127">
        <v>22</v>
      </c>
      <c r="M16" s="127">
        <v>22</v>
      </c>
    </row>
    <row r="17" spans="1:13">
      <c r="A17" s="127">
        <v>14</v>
      </c>
      <c r="B17" s="127">
        <v>390</v>
      </c>
      <c r="C17" s="127">
        <v>19</v>
      </c>
      <c r="D17" s="127">
        <v>19</v>
      </c>
      <c r="E17" s="127">
        <v>9</v>
      </c>
      <c r="F17" s="127">
        <v>9</v>
      </c>
      <c r="G17" s="127">
        <v>10</v>
      </c>
      <c r="H17" s="127">
        <v>12</v>
      </c>
      <c r="I17" s="127">
        <v>14</v>
      </c>
      <c r="J17" s="127">
        <v>11</v>
      </c>
      <c r="K17" s="127">
        <v>12</v>
      </c>
      <c r="L17" s="127">
        <v>23</v>
      </c>
      <c r="M17" s="127">
        <v>22</v>
      </c>
    </row>
    <row r="18" spans="1:13">
      <c r="A18" s="127">
        <v>15</v>
      </c>
      <c r="B18" s="127">
        <v>400</v>
      </c>
      <c r="C18" s="127">
        <v>20</v>
      </c>
      <c r="D18" s="127">
        <v>20</v>
      </c>
      <c r="E18" s="127">
        <v>10</v>
      </c>
      <c r="F18" s="127">
        <v>10</v>
      </c>
      <c r="G18" s="127">
        <v>10</v>
      </c>
      <c r="H18" s="127">
        <v>13</v>
      </c>
      <c r="I18" s="127">
        <v>14</v>
      </c>
      <c r="J18" s="127">
        <v>12</v>
      </c>
      <c r="K18" s="127">
        <v>13</v>
      </c>
      <c r="L18" s="127">
        <v>24</v>
      </c>
      <c r="M18" s="127">
        <v>23</v>
      </c>
    </row>
    <row r="19" spans="1:13">
      <c r="A19" s="127">
        <v>16</v>
      </c>
      <c r="B19" s="127">
        <v>420</v>
      </c>
      <c r="C19" s="127">
        <v>20</v>
      </c>
      <c r="D19" s="127">
        <v>20</v>
      </c>
      <c r="E19" s="127">
        <v>10</v>
      </c>
      <c r="F19" s="127">
        <v>10</v>
      </c>
      <c r="G19" s="127">
        <v>11</v>
      </c>
      <c r="H19" s="127">
        <v>14</v>
      </c>
      <c r="I19" s="127">
        <v>15</v>
      </c>
      <c r="J19" s="127">
        <v>13</v>
      </c>
      <c r="K19" s="127">
        <v>14</v>
      </c>
      <c r="L19" s="127">
        <v>24</v>
      </c>
      <c r="M19" s="127">
        <v>24</v>
      </c>
    </row>
    <row r="20" spans="1:13">
      <c r="A20" s="127">
        <v>17</v>
      </c>
      <c r="B20" s="127">
        <v>430</v>
      </c>
      <c r="C20" s="127">
        <v>21</v>
      </c>
      <c r="D20" s="127">
        <v>21</v>
      </c>
      <c r="E20" s="127">
        <v>11</v>
      </c>
      <c r="F20" s="127">
        <v>11</v>
      </c>
      <c r="G20" s="127">
        <v>12</v>
      </c>
      <c r="H20" s="127">
        <v>15</v>
      </c>
      <c r="I20" s="127"/>
      <c r="J20" s="127">
        <v>14</v>
      </c>
      <c r="K20" s="127">
        <v>15</v>
      </c>
      <c r="L20" s="127">
        <v>25</v>
      </c>
      <c r="M20" s="127">
        <v>25</v>
      </c>
    </row>
    <row r="21" spans="1:13">
      <c r="A21" s="127">
        <v>18</v>
      </c>
      <c r="B21" s="127">
        <v>440</v>
      </c>
      <c r="C21" s="127">
        <v>21</v>
      </c>
      <c r="D21" s="127">
        <v>22</v>
      </c>
      <c r="E21" s="127">
        <v>11</v>
      </c>
      <c r="F21" s="127">
        <v>12</v>
      </c>
      <c r="G21" s="127">
        <v>13</v>
      </c>
      <c r="H21" s="127"/>
      <c r="I21" s="127"/>
      <c r="J21" s="127">
        <v>15</v>
      </c>
      <c r="K21" s="127">
        <v>15</v>
      </c>
      <c r="L21" s="127">
        <v>26</v>
      </c>
      <c r="M21" s="127">
        <v>26</v>
      </c>
    </row>
    <row r="22" spans="1:13">
      <c r="A22" s="127">
        <v>19</v>
      </c>
      <c r="B22" s="127">
        <v>450</v>
      </c>
      <c r="C22" s="127">
        <v>22</v>
      </c>
      <c r="D22" s="127">
        <v>22</v>
      </c>
      <c r="E22" s="127">
        <v>12</v>
      </c>
      <c r="F22" s="127">
        <v>13</v>
      </c>
      <c r="G22" s="127">
        <v>15</v>
      </c>
      <c r="H22" s="127"/>
      <c r="I22" s="127"/>
      <c r="J22" s="127"/>
      <c r="K22" s="127"/>
      <c r="L22" s="127">
        <v>26</v>
      </c>
      <c r="M22" s="127">
        <v>26</v>
      </c>
    </row>
    <row r="23" spans="1:13">
      <c r="A23" s="127">
        <v>20</v>
      </c>
      <c r="B23" s="127">
        <v>460</v>
      </c>
      <c r="C23" s="127">
        <v>22</v>
      </c>
      <c r="D23" s="127">
        <v>23</v>
      </c>
      <c r="E23" s="127">
        <v>12</v>
      </c>
      <c r="F23" s="127">
        <v>15</v>
      </c>
      <c r="G23" s="127"/>
      <c r="H23" s="127"/>
      <c r="I23" s="127"/>
      <c r="J23" s="127"/>
      <c r="K23" s="127"/>
      <c r="L23" s="127">
        <v>27</v>
      </c>
      <c r="M23" s="127">
        <v>27</v>
      </c>
    </row>
    <row r="24" spans="1:13">
      <c r="A24" s="127">
        <v>21</v>
      </c>
      <c r="B24" s="127">
        <v>470</v>
      </c>
      <c r="C24" s="127">
        <v>23</v>
      </c>
      <c r="D24" s="127">
        <v>23</v>
      </c>
      <c r="E24" s="127">
        <v>13</v>
      </c>
      <c r="F24" s="127"/>
      <c r="G24" s="127"/>
      <c r="H24" s="127"/>
      <c r="I24" s="127"/>
      <c r="J24" s="127"/>
      <c r="K24" s="127"/>
      <c r="L24" s="127">
        <v>28</v>
      </c>
      <c r="M24" s="127">
        <v>28</v>
      </c>
    </row>
    <row r="25" spans="1:13">
      <c r="A25" s="127">
        <v>22</v>
      </c>
      <c r="B25" s="127">
        <v>480</v>
      </c>
      <c r="C25" s="127">
        <v>23</v>
      </c>
      <c r="D25" s="127">
        <v>24</v>
      </c>
      <c r="E25" s="127">
        <v>14</v>
      </c>
      <c r="F25" s="127"/>
      <c r="G25" s="127"/>
      <c r="H25" s="127"/>
      <c r="I25" s="127"/>
      <c r="J25" s="127"/>
      <c r="K25" s="127"/>
      <c r="L25" s="127">
        <v>29</v>
      </c>
      <c r="M25" s="127">
        <v>29</v>
      </c>
    </row>
    <row r="26" spans="1:13">
      <c r="A26" s="127">
        <v>23</v>
      </c>
      <c r="B26" s="127">
        <v>490</v>
      </c>
      <c r="C26" s="127">
        <v>24</v>
      </c>
      <c r="D26" s="127">
        <v>25</v>
      </c>
      <c r="E26" s="127">
        <v>14</v>
      </c>
      <c r="F26" s="127"/>
      <c r="G26" s="127"/>
      <c r="H26" s="127"/>
      <c r="I26" s="127"/>
      <c r="J26" s="127"/>
      <c r="K26" s="127"/>
      <c r="L26" s="127">
        <v>29</v>
      </c>
      <c r="M26" s="127">
        <v>29</v>
      </c>
    </row>
    <row r="27" spans="1:13">
      <c r="A27" s="127">
        <v>24</v>
      </c>
      <c r="B27" s="127">
        <v>500</v>
      </c>
      <c r="C27" s="127">
        <v>24</v>
      </c>
      <c r="D27" s="127">
        <v>25</v>
      </c>
      <c r="E27" s="127">
        <v>15</v>
      </c>
      <c r="F27" s="127"/>
      <c r="G27" s="127"/>
      <c r="H27" s="127"/>
      <c r="I27" s="127"/>
      <c r="J27" s="127"/>
      <c r="K27" s="127"/>
      <c r="L27" s="127">
        <v>30</v>
      </c>
      <c r="M27" s="127">
        <v>30</v>
      </c>
    </row>
    <row r="28" spans="1:13">
      <c r="A28" s="127">
        <v>25</v>
      </c>
      <c r="B28" s="127">
        <v>510</v>
      </c>
      <c r="C28" s="127">
        <v>24</v>
      </c>
      <c r="D28" s="127">
        <v>26</v>
      </c>
      <c r="E28" s="127"/>
      <c r="F28" s="127"/>
      <c r="G28" s="127"/>
      <c r="H28" s="127"/>
      <c r="I28" s="127"/>
      <c r="J28" s="127"/>
      <c r="K28" s="127"/>
      <c r="L28" s="127">
        <v>31</v>
      </c>
      <c r="M28" s="127">
        <v>31</v>
      </c>
    </row>
    <row r="29" spans="1:13">
      <c r="A29" s="127">
        <v>26</v>
      </c>
      <c r="B29" s="127">
        <v>510</v>
      </c>
      <c r="C29" s="127">
        <v>25</v>
      </c>
      <c r="D29" s="127">
        <v>26</v>
      </c>
      <c r="E29" s="127"/>
      <c r="F29" s="127"/>
      <c r="G29" s="127"/>
      <c r="H29" s="127"/>
      <c r="I29" s="127"/>
      <c r="J29" s="127"/>
      <c r="K29" s="127"/>
      <c r="L29" s="127">
        <v>31</v>
      </c>
      <c r="M29" s="127">
        <v>31</v>
      </c>
    </row>
    <row r="30" spans="1:13">
      <c r="A30" s="127">
        <v>27</v>
      </c>
      <c r="B30" s="127">
        <v>520</v>
      </c>
      <c r="C30" s="127">
        <v>25</v>
      </c>
      <c r="D30" s="127">
        <v>27</v>
      </c>
      <c r="E30" s="127"/>
      <c r="F30" s="127"/>
      <c r="G30" s="127"/>
      <c r="H30" s="127"/>
      <c r="I30" s="127"/>
      <c r="J30" s="127"/>
      <c r="K30" s="127"/>
      <c r="L30" s="127">
        <v>32</v>
      </c>
      <c r="M30" s="127">
        <v>32</v>
      </c>
    </row>
    <row r="31" spans="1:13">
      <c r="A31" s="127">
        <v>28</v>
      </c>
      <c r="B31" s="127">
        <v>530</v>
      </c>
      <c r="C31" s="127">
        <v>26</v>
      </c>
      <c r="D31" s="127">
        <v>27</v>
      </c>
      <c r="E31" s="127"/>
      <c r="F31" s="127"/>
      <c r="G31" s="127"/>
      <c r="H31" s="127"/>
      <c r="I31" s="127"/>
      <c r="J31" s="127"/>
      <c r="K31" s="127"/>
      <c r="L31" s="127">
        <v>33</v>
      </c>
      <c r="M31" s="127">
        <v>33</v>
      </c>
    </row>
    <row r="32" spans="1:13">
      <c r="A32" s="127">
        <v>29</v>
      </c>
      <c r="B32" s="127">
        <v>540</v>
      </c>
      <c r="C32" s="127">
        <v>27</v>
      </c>
      <c r="D32" s="127">
        <v>28</v>
      </c>
      <c r="E32" s="127"/>
      <c r="F32" s="127"/>
      <c r="G32" s="127"/>
      <c r="H32" s="127"/>
      <c r="I32" s="127"/>
      <c r="J32" s="127"/>
      <c r="K32" s="127"/>
      <c r="L32" s="127">
        <v>34</v>
      </c>
      <c r="M32" s="127">
        <v>34</v>
      </c>
    </row>
    <row r="33" spans="1:13">
      <c r="A33" s="127">
        <v>30</v>
      </c>
      <c r="B33" s="127">
        <v>550</v>
      </c>
      <c r="C33" s="127">
        <v>27</v>
      </c>
      <c r="D33" s="127">
        <v>29</v>
      </c>
      <c r="E33" s="127"/>
      <c r="F33" s="127"/>
      <c r="G33" s="127"/>
      <c r="H33" s="127"/>
      <c r="I33" s="127"/>
      <c r="J33" s="127"/>
      <c r="K33" s="127"/>
      <c r="L33" s="127">
        <v>35</v>
      </c>
      <c r="M33" s="127">
        <v>34</v>
      </c>
    </row>
    <row r="34" spans="1:13">
      <c r="A34" s="127">
        <v>31</v>
      </c>
      <c r="B34" s="127">
        <v>560</v>
      </c>
      <c r="C34" s="127">
        <v>28</v>
      </c>
      <c r="D34" s="127">
        <v>29</v>
      </c>
      <c r="E34" s="127"/>
      <c r="F34" s="127"/>
      <c r="G34" s="127"/>
      <c r="H34" s="127"/>
      <c r="I34" s="127"/>
      <c r="J34" s="127"/>
      <c r="K34" s="127"/>
      <c r="L34" s="127">
        <v>36</v>
      </c>
      <c r="M34" s="127">
        <v>35</v>
      </c>
    </row>
    <row r="35" spans="1:13">
      <c r="A35" s="127">
        <v>32</v>
      </c>
      <c r="B35" s="127">
        <v>570</v>
      </c>
      <c r="C35" s="127">
        <v>28</v>
      </c>
      <c r="D35" s="127">
        <v>30</v>
      </c>
      <c r="E35" s="127"/>
      <c r="F35" s="127"/>
      <c r="G35" s="127"/>
      <c r="H35" s="127"/>
      <c r="I35" s="127"/>
      <c r="J35" s="127"/>
      <c r="K35" s="127"/>
      <c r="L35" s="127">
        <v>37</v>
      </c>
      <c r="M35" s="127">
        <v>36</v>
      </c>
    </row>
    <row r="36" spans="1:13">
      <c r="A36" s="127">
        <v>33</v>
      </c>
      <c r="B36" s="127">
        <v>570</v>
      </c>
      <c r="C36" s="127">
        <v>29</v>
      </c>
      <c r="D36" s="127">
        <v>31</v>
      </c>
      <c r="E36" s="127"/>
      <c r="F36" s="127"/>
      <c r="G36" s="127"/>
      <c r="H36" s="127"/>
      <c r="I36" s="127"/>
      <c r="J36" s="127"/>
      <c r="K36" s="127"/>
      <c r="L36" s="127">
        <v>38</v>
      </c>
      <c r="M36" s="127">
        <v>37</v>
      </c>
    </row>
    <row r="37" spans="1:13">
      <c r="A37" s="127">
        <v>34</v>
      </c>
      <c r="B37" s="127">
        <v>580</v>
      </c>
      <c r="C37" s="127">
        <v>29</v>
      </c>
      <c r="D37" s="127">
        <v>31</v>
      </c>
      <c r="E37" s="127"/>
      <c r="F37" s="127"/>
      <c r="G37" s="127"/>
      <c r="H37" s="127"/>
      <c r="I37" s="127"/>
      <c r="J37" s="127"/>
      <c r="K37" s="127"/>
      <c r="L37" s="127">
        <v>39</v>
      </c>
      <c r="M37" s="127">
        <v>38</v>
      </c>
    </row>
    <row r="38" spans="1:13">
      <c r="A38" s="127">
        <v>35</v>
      </c>
      <c r="B38" s="127">
        <v>590</v>
      </c>
      <c r="C38" s="127">
        <v>30</v>
      </c>
      <c r="D38" s="127">
        <v>32</v>
      </c>
      <c r="E38" s="127"/>
      <c r="F38" s="127"/>
      <c r="G38" s="127"/>
      <c r="H38" s="127"/>
      <c r="I38" s="127"/>
      <c r="J38" s="127"/>
      <c r="K38" s="127"/>
      <c r="L38" s="127">
        <v>40</v>
      </c>
      <c r="M38" s="127">
        <v>40</v>
      </c>
    </row>
    <row r="39" spans="1:13">
      <c r="A39" s="127">
        <v>36</v>
      </c>
      <c r="B39" s="127">
        <v>600</v>
      </c>
      <c r="C39" s="127">
        <v>30</v>
      </c>
      <c r="D39" s="127">
        <v>33</v>
      </c>
      <c r="E39" s="127"/>
      <c r="F39" s="127"/>
      <c r="G39" s="127"/>
      <c r="H39" s="127"/>
      <c r="I39" s="127"/>
      <c r="J39" s="127"/>
      <c r="K39" s="127"/>
      <c r="L39" s="127"/>
      <c r="M39" s="127"/>
    </row>
    <row r="40" spans="1:13">
      <c r="A40" s="127">
        <v>37</v>
      </c>
      <c r="B40" s="127">
        <v>610</v>
      </c>
      <c r="C40" s="127">
        <v>31</v>
      </c>
      <c r="D40" s="127">
        <v>33</v>
      </c>
      <c r="E40" s="127"/>
      <c r="F40" s="127"/>
      <c r="G40" s="127"/>
      <c r="H40" s="127"/>
      <c r="I40" s="127"/>
      <c r="J40" s="127"/>
      <c r="K40" s="127"/>
      <c r="L40" s="127"/>
      <c r="M40" s="127"/>
    </row>
    <row r="41" spans="1:13">
      <c r="A41" s="127">
        <v>38</v>
      </c>
      <c r="B41" s="127">
        <v>620</v>
      </c>
      <c r="C41" s="127">
        <v>31</v>
      </c>
      <c r="D41" s="127">
        <v>34</v>
      </c>
      <c r="E41" s="127"/>
      <c r="F41" s="127"/>
      <c r="G41" s="127"/>
      <c r="H41" s="127"/>
      <c r="I41" s="127"/>
      <c r="J41" s="127"/>
      <c r="K41" s="127"/>
      <c r="L41" s="127"/>
      <c r="M41" s="127"/>
    </row>
    <row r="42" spans="1:13">
      <c r="A42" s="127">
        <v>39</v>
      </c>
      <c r="B42" s="127">
        <v>630</v>
      </c>
      <c r="C42" s="127">
        <v>32</v>
      </c>
      <c r="D42" s="127">
        <v>35</v>
      </c>
      <c r="E42" s="127"/>
      <c r="F42" s="127"/>
      <c r="G42" s="127"/>
      <c r="H42" s="127"/>
      <c r="I42" s="127"/>
      <c r="J42" s="127"/>
      <c r="K42" s="127"/>
      <c r="L42" s="127"/>
      <c r="M42" s="127"/>
    </row>
    <row r="43" spans="1:13">
      <c r="A43" s="127">
        <v>40</v>
      </c>
      <c r="B43" s="127">
        <v>640</v>
      </c>
      <c r="C43" s="127">
        <v>32</v>
      </c>
      <c r="D43" s="127">
        <v>36</v>
      </c>
      <c r="E43" s="127"/>
      <c r="F43" s="127"/>
      <c r="G43" s="127"/>
      <c r="H43" s="127"/>
      <c r="I43" s="127"/>
      <c r="J43" s="127"/>
      <c r="K43" s="127"/>
      <c r="L43" s="127"/>
      <c r="M43" s="127"/>
    </row>
    <row r="44" spans="1:13">
      <c r="A44" s="127">
        <v>41</v>
      </c>
      <c r="B44" s="127">
        <v>650</v>
      </c>
      <c r="C44" s="127">
        <v>33</v>
      </c>
      <c r="D44" s="127">
        <v>37</v>
      </c>
      <c r="E44" s="127"/>
      <c r="F44" s="127"/>
      <c r="G44" s="127"/>
      <c r="H44" s="127"/>
      <c r="I44" s="127"/>
      <c r="J44" s="127"/>
      <c r="K44" s="127"/>
      <c r="L44" s="127"/>
      <c r="M44" s="127"/>
    </row>
    <row r="45" spans="1:13">
      <c r="A45" s="127">
        <v>42</v>
      </c>
      <c r="B45" s="127">
        <v>650</v>
      </c>
      <c r="C45" s="127">
        <v>33</v>
      </c>
      <c r="D45" s="127">
        <v>38</v>
      </c>
      <c r="E45" s="127"/>
      <c r="F45" s="127"/>
      <c r="G45" s="127"/>
      <c r="H45" s="127"/>
      <c r="I45" s="127"/>
      <c r="J45" s="127"/>
      <c r="K45" s="127"/>
      <c r="L45" s="127"/>
      <c r="M45" s="127"/>
    </row>
    <row r="46" spans="1:13">
      <c r="A46" s="127">
        <v>43</v>
      </c>
      <c r="B46" s="127">
        <v>660</v>
      </c>
      <c r="C46" s="127">
        <v>34</v>
      </c>
      <c r="D46" s="127">
        <v>39</v>
      </c>
      <c r="E46" s="127"/>
      <c r="F46" s="127"/>
      <c r="G46" s="127"/>
      <c r="H46" s="127"/>
      <c r="I46" s="127"/>
      <c r="J46" s="127"/>
      <c r="K46" s="127"/>
      <c r="L46" s="127"/>
      <c r="M46" s="127"/>
    </row>
    <row r="47" spans="1:13">
      <c r="A47" s="127">
        <v>44</v>
      </c>
      <c r="B47" s="127">
        <v>670</v>
      </c>
      <c r="C47" s="127">
        <v>34</v>
      </c>
      <c r="D47" s="127">
        <v>40</v>
      </c>
      <c r="E47" s="127"/>
      <c r="F47" s="127"/>
      <c r="G47" s="127"/>
      <c r="H47" s="127"/>
      <c r="I47" s="127"/>
      <c r="J47" s="127"/>
      <c r="K47" s="127"/>
      <c r="L47" s="127"/>
      <c r="M47" s="127"/>
    </row>
    <row r="48" spans="1:13">
      <c r="A48" s="127">
        <v>45</v>
      </c>
      <c r="B48" s="127">
        <v>680</v>
      </c>
      <c r="C48" s="127">
        <v>35</v>
      </c>
      <c r="D48" s="127"/>
      <c r="E48" s="127"/>
      <c r="F48" s="127"/>
      <c r="G48" s="127"/>
      <c r="H48" s="127"/>
      <c r="I48" s="127"/>
      <c r="J48" s="127"/>
      <c r="K48" s="127"/>
      <c r="L48" s="127"/>
      <c r="M48" s="127"/>
    </row>
    <row r="49" spans="1:13">
      <c r="A49" s="127">
        <v>46</v>
      </c>
      <c r="B49" s="127">
        <v>690</v>
      </c>
      <c r="C49" s="127">
        <v>35</v>
      </c>
      <c r="D49" s="127"/>
      <c r="E49" s="127"/>
      <c r="F49" s="127"/>
      <c r="G49" s="127"/>
      <c r="H49" s="127"/>
      <c r="I49" s="127"/>
      <c r="J49" s="127"/>
      <c r="K49" s="127"/>
      <c r="L49" s="127"/>
      <c r="M49" s="127"/>
    </row>
    <row r="50" spans="1:13">
      <c r="A50" s="127">
        <v>47</v>
      </c>
      <c r="B50" s="127">
        <v>690</v>
      </c>
      <c r="C50" s="127">
        <v>36</v>
      </c>
      <c r="D50" s="127"/>
      <c r="E50" s="127"/>
      <c r="F50" s="127"/>
      <c r="G50" s="127"/>
      <c r="H50" s="127"/>
      <c r="I50" s="127"/>
      <c r="J50" s="127"/>
      <c r="K50" s="127"/>
      <c r="L50" s="127"/>
      <c r="M50" s="127"/>
    </row>
    <row r="51" spans="1:13">
      <c r="A51" s="127">
        <v>48</v>
      </c>
      <c r="B51" s="127">
        <v>700</v>
      </c>
      <c r="C51" s="127">
        <v>37</v>
      </c>
      <c r="D51" s="127"/>
      <c r="E51" s="127"/>
      <c r="F51" s="127"/>
      <c r="G51" s="127"/>
      <c r="H51" s="127"/>
      <c r="I51" s="127"/>
      <c r="J51" s="127"/>
      <c r="K51" s="127"/>
      <c r="L51" s="127"/>
      <c r="M51" s="127"/>
    </row>
    <row r="52" spans="1:13">
      <c r="A52" s="127">
        <v>49</v>
      </c>
      <c r="B52" s="127">
        <v>710</v>
      </c>
      <c r="C52" s="127">
        <v>37</v>
      </c>
      <c r="D52" s="127"/>
      <c r="E52" s="127"/>
      <c r="F52" s="127"/>
      <c r="G52" s="127"/>
      <c r="H52" s="127"/>
      <c r="I52" s="127"/>
      <c r="J52" s="127"/>
      <c r="K52" s="127"/>
      <c r="L52" s="127"/>
      <c r="M52" s="127"/>
    </row>
    <row r="53" spans="1:13">
      <c r="A53" s="127">
        <v>50</v>
      </c>
      <c r="B53" s="127">
        <v>720</v>
      </c>
      <c r="C53" s="127">
        <v>38</v>
      </c>
      <c r="D53" s="127"/>
      <c r="E53" s="127"/>
      <c r="F53" s="127"/>
      <c r="G53" s="127"/>
      <c r="H53" s="127"/>
      <c r="I53" s="127"/>
      <c r="J53" s="127"/>
      <c r="K53" s="127"/>
      <c r="L53" s="127"/>
      <c r="M53" s="127"/>
    </row>
    <row r="54" spans="1:13">
      <c r="A54" s="127">
        <v>51</v>
      </c>
      <c r="B54" s="127">
        <v>730</v>
      </c>
      <c r="C54" s="127">
        <v>39</v>
      </c>
      <c r="D54" s="127"/>
      <c r="E54" s="127"/>
      <c r="F54" s="127"/>
      <c r="G54" s="127"/>
      <c r="H54" s="127"/>
      <c r="I54" s="127"/>
      <c r="J54" s="127"/>
      <c r="K54" s="127"/>
      <c r="L54" s="127"/>
      <c r="M54" s="127"/>
    </row>
    <row r="55" spans="1:13">
      <c r="A55" s="127">
        <v>52</v>
      </c>
      <c r="B55" s="127">
        <v>740</v>
      </c>
      <c r="C55" s="127">
        <v>40</v>
      </c>
      <c r="D55" s="127"/>
      <c r="E55" s="127"/>
      <c r="F55" s="127"/>
      <c r="G55" s="127"/>
      <c r="H55" s="127"/>
      <c r="I55" s="127"/>
      <c r="J55" s="127"/>
      <c r="K55" s="127"/>
      <c r="L55" s="127"/>
      <c r="M55" s="127"/>
    </row>
    <row r="56" spans="1:13">
      <c r="A56" s="127">
        <v>53</v>
      </c>
      <c r="B56" s="127">
        <v>750</v>
      </c>
      <c r="C56" s="127"/>
      <c r="D56" s="127"/>
      <c r="E56" s="127"/>
      <c r="F56" s="127"/>
      <c r="G56" s="127"/>
      <c r="H56" s="127"/>
      <c r="I56" s="127"/>
      <c r="J56" s="127"/>
      <c r="K56" s="127"/>
      <c r="L56" s="127"/>
      <c r="M56" s="127"/>
    </row>
    <row r="57" spans="1:13">
      <c r="A57" s="127">
        <v>54</v>
      </c>
      <c r="B57" s="127">
        <v>760</v>
      </c>
      <c r="C57" s="127"/>
      <c r="D57" s="127"/>
      <c r="E57" s="127"/>
      <c r="F57" s="127"/>
      <c r="G57" s="127"/>
      <c r="H57" s="127"/>
      <c r="I57" s="127"/>
      <c r="J57" s="127"/>
      <c r="K57" s="127"/>
      <c r="L57" s="127"/>
      <c r="M57" s="127"/>
    </row>
    <row r="58" spans="1:13">
      <c r="A58" s="127">
        <v>55</v>
      </c>
      <c r="B58" s="127">
        <v>770</v>
      </c>
      <c r="C58" s="127"/>
      <c r="D58" s="127"/>
      <c r="E58" s="127"/>
      <c r="F58" s="127"/>
      <c r="G58" s="127"/>
      <c r="H58" s="127"/>
      <c r="I58" s="127"/>
      <c r="J58" s="127"/>
      <c r="K58" s="127"/>
      <c r="L58" s="127"/>
      <c r="M58" s="127"/>
    </row>
    <row r="59" spans="1:13">
      <c r="A59" s="127">
        <v>56</v>
      </c>
      <c r="B59" s="127">
        <v>780</v>
      </c>
      <c r="C59" s="127"/>
      <c r="D59" s="127"/>
      <c r="E59" s="127"/>
      <c r="F59" s="127"/>
      <c r="G59" s="127"/>
      <c r="H59" s="127"/>
      <c r="I59" s="127"/>
      <c r="J59" s="127"/>
      <c r="K59" s="127"/>
      <c r="L59" s="127"/>
      <c r="M59" s="127"/>
    </row>
    <row r="60" spans="1:13">
      <c r="A60" s="127">
        <v>57</v>
      </c>
      <c r="B60" s="127">
        <v>790</v>
      </c>
      <c r="C60" s="127"/>
      <c r="D60" s="127"/>
      <c r="E60" s="127"/>
      <c r="F60" s="127"/>
      <c r="G60" s="127"/>
      <c r="H60" s="127"/>
      <c r="I60" s="127"/>
      <c r="J60" s="127"/>
      <c r="K60" s="127"/>
      <c r="L60" s="127"/>
      <c r="M60" s="127"/>
    </row>
    <row r="61" spans="1:13">
      <c r="A61" s="127">
        <v>58</v>
      </c>
      <c r="B61" s="127">
        <v>800</v>
      </c>
      <c r="C61" s="127"/>
      <c r="D61" s="127"/>
      <c r="E61" s="127"/>
      <c r="F61" s="127"/>
      <c r="G61" s="127"/>
      <c r="H61" s="127"/>
      <c r="I61" s="127"/>
      <c r="J61" s="127"/>
      <c r="K61" s="127"/>
      <c r="L61" s="127"/>
      <c r="M61" s="127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2"/>
  <dimension ref="A1:M61"/>
  <sheetViews>
    <sheetView topLeftCell="A2" workbookViewId="0">
      <selection activeCell="M61" sqref="A3:M61"/>
    </sheetView>
  </sheetViews>
  <sheetFormatPr defaultColWidth="9.140625" defaultRowHeight="15"/>
  <cols>
    <col min="1" max="3" width="11.140625" style="210" customWidth="1"/>
    <col min="4" max="4" width="11.28515625" style="210" customWidth="1"/>
    <col min="5" max="5" width="10.85546875" style="75" customWidth="1"/>
    <col min="6" max="10" width="9.140625" style="75"/>
    <col min="11" max="11" width="10.28515625" style="75" customWidth="1"/>
    <col min="12" max="16384" width="9.140625" style="75"/>
  </cols>
  <sheetData>
    <row r="1" spans="1:13" ht="36">
      <c r="A1" s="128" t="s">
        <v>10</v>
      </c>
    </row>
    <row r="2" spans="1:13" ht="42.75" customHeight="1">
      <c r="A2" s="92" t="s">
        <v>126</v>
      </c>
      <c r="B2" s="92" t="s">
        <v>133</v>
      </c>
      <c r="C2" s="92" t="s">
        <v>134</v>
      </c>
      <c r="D2" s="92" t="s">
        <v>135</v>
      </c>
      <c r="E2" s="92" t="s">
        <v>61</v>
      </c>
      <c r="F2" s="92" t="s">
        <v>65</v>
      </c>
      <c r="G2" s="92" t="s">
        <v>71</v>
      </c>
      <c r="H2" s="92" t="s">
        <v>96</v>
      </c>
      <c r="I2" s="92" t="s">
        <v>141</v>
      </c>
      <c r="J2" s="92" t="s">
        <v>139</v>
      </c>
      <c r="K2" s="92" t="s">
        <v>140</v>
      </c>
      <c r="L2" s="92" t="s">
        <v>143</v>
      </c>
      <c r="M2" s="92" t="s">
        <v>144</v>
      </c>
    </row>
    <row r="3" spans="1:13">
      <c r="A3" s="127">
        <v>0</v>
      </c>
      <c r="B3" s="127">
        <v>200</v>
      </c>
      <c r="C3" s="127">
        <v>10</v>
      </c>
      <c r="D3" s="127">
        <v>10</v>
      </c>
      <c r="E3" s="127">
        <v>1</v>
      </c>
      <c r="F3" s="127">
        <v>1</v>
      </c>
      <c r="G3" s="127">
        <v>1</v>
      </c>
      <c r="H3" s="127">
        <v>1</v>
      </c>
      <c r="I3" s="127">
        <v>1</v>
      </c>
      <c r="J3" s="127">
        <v>1</v>
      </c>
      <c r="K3" s="127">
        <v>1</v>
      </c>
      <c r="L3" s="127">
        <v>10</v>
      </c>
      <c r="M3" s="127">
        <v>10</v>
      </c>
    </row>
    <row r="4" spans="1:13">
      <c r="A4" s="127">
        <v>1</v>
      </c>
      <c r="B4" s="127">
        <v>200</v>
      </c>
      <c r="C4" s="127">
        <v>10</v>
      </c>
      <c r="D4" s="127">
        <v>10</v>
      </c>
      <c r="E4" s="127">
        <v>1</v>
      </c>
      <c r="F4" s="127">
        <v>1</v>
      </c>
      <c r="G4" s="127">
        <v>1</v>
      </c>
      <c r="H4" s="127">
        <v>2</v>
      </c>
      <c r="I4" s="127">
        <v>2</v>
      </c>
      <c r="J4" s="127">
        <v>1</v>
      </c>
      <c r="K4" s="127">
        <v>2</v>
      </c>
      <c r="L4" s="127">
        <v>10</v>
      </c>
      <c r="M4" s="127">
        <v>11</v>
      </c>
    </row>
    <row r="5" spans="1:13">
      <c r="A5" s="127">
        <v>2</v>
      </c>
      <c r="B5" s="127">
        <v>210</v>
      </c>
      <c r="C5" s="127">
        <v>10</v>
      </c>
      <c r="D5" s="127">
        <v>10</v>
      </c>
      <c r="E5" s="127">
        <v>2</v>
      </c>
      <c r="F5" s="127">
        <v>1</v>
      </c>
      <c r="G5" s="127">
        <v>2</v>
      </c>
      <c r="H5" s="127">
        <v>3</v>
      </c>
      <c r="I5" s="127">
        <v>3</v>
      </c>
      <c r="J5" s="127">
        <v>1</v>
      </c>
      <c r="K5" s="127">
        <v>3</v>
      </c>
      <c r="L5" s="127">
        <v>11</v>
      </c>
      <c r="M5" s="127">
        <v>12</v>
      </c>
    </row>
    <row r="6" spans="1:13">
      <c r="A6" s="127">
        <v>3</v>
      </c>
      <c r="B6" s="127">
        <v>230</v>
      </c>
      <c r="C6" s="127">
        <v>11</v>
      </c>
      <c r="D6" s="127">
        <v>11</v>
      </c>
      <c r="E6" s="127">
        <v>3</v>
      </c>
      <c r="F6" s="127">
        <v>2</v>
      </c>
      <c r="G6" s="127">
        <v>3</v>
      </c>
      <c r="H6" s="127">
        <v>4</v>
      </c>
      <c r="I6" s="127">
        <v>5</v>
      </c>
      <c r="J6" s="127">
        <v>3</v>
      </c>
      <c r="K6" s="127">
        <v>4</v>
      </c>
      <c r="L6" s="127">
        <v>12</v>
      </c>
      <c r="M6" s="127">
        <v>13</v>
      </c>
    </row>
    <row r="7" spans="1:13">
      <c r="A7" s="127">
        <v>4</v>
      </c>
      <c r="B7" s="127">
        <v>250</v>
      </c>
      <c r="C7" s="127">
        <v>12</v>
      </c>
      <c r="D7" s="127">
        <v>12</v>
      </c>
      <c r="E7" s="127">
        <v>4</v>
      </c>
      <c r="F7" s="127">
        <v>4</v>
      </c>
      <c r="G7" s="127">
        <v>5</v>
      </c>
      <c r="H7" s="127">
        <v>5</v>
      </c>
      <c r="I7" s="127">
        <v>6</v>
      </c>
      <c r="J7" s="127">
        <v>4</v>
      </c>
      <c r="K7" s="127">
        <v>5</v>
      </c>
      <c r="L7" s="127">
        <v>14</v>
      </c>
      <c r="M7" s="127">
        <v>14</v>
      </c>
    </row>
    <row r="8" spans="1:13">
      <c r="A8" s="127">
        <v>5</v>
      </c>
      <c r="B8" s="127">
        <v>270</v>
      </c>
      <c r="C8" s="127">
        <v>13</v>
      </c>
      <c r="D8" s="127">
        <v>13</v>
      </c>
      <c r="E8" s="127">
        <v>5</v>
      </c>
      <c r="F8" s="127">
        <v>4</v>
      </c>
      <c r="G8" s="127">
        <v>6</v>
      </c>
      <c r="H8" s="127">
        <v>6</v>
      </c>
      <c r="I8" s="127">
        <v>7</v>
      </c>
      <c r="J8" s="127">
        <v>5</v>
      </c>
      <c r="K8" s="127">
        <v>6</v>
      </c>
      <c r="L8" s="127">
        <v>15</v>
      </c>
      <c r="M8" s="127">
        <v>15</v>
      </c>
    </row>
    <row r="9" spans="1:13">
      <c r="A9" s="127">
        <v>6</v>
      </c>
      <c r="B9" s="127">
        <v>290</v>
      </c>
      <c r="C9" s="127">
        <v>14</v>
      </c>
      <c r="D9" s="127">
        <v>14</v>
      </c>
      <c r="E9" s="127">
        <v>6</v>
      </c>
      <c r="F9" s="127">
        <v>5</v>
      </c>
      <c r="G9" s="127">
        <v>6</v>
      </c>
      <c r="H9" s="127">
        <v>7</v>
      </c>
      <c r="I9" s="127">
        <v>8</v>
      </c>
      <c r="J9" s="127">
        <v>6</v>
      </c>
      <c r="K9" s="127">
        <v>7</v>
      </c>
      <c r="L9" s="127">
        <v>16</v>
      </c>
      <c r="M9" s="127">
        <v>16</v>
      </c>
    </row>
    <row r="10" spans="1:13">
      <c r="A10" s="127">
        <v>7</v>
      </c>
      <c r="B10" s="127">
        <v>300</v>
      </c>
      <c r="C10" s="127">
        <v>14</v>
      </c>
      <c r="D10" s="127">
        <v>15</v>
      </c>
      <c r="E10" s="127">
        <v>6</v>
      </c>
      <c r="F10" s="127">
        <v>6</v>
      </c>
      <c r="G10" s="127">
        <v>7</v>
      </c>
      <c r="H10" s="127">
        <v>8</v>
      </c>
      <c r="I10" s="127">
        <v>9</v>
      </c>
      <c r="J10" s="127">
        <v>6</v>
      </c>
      <c r="K10" s="127">
        <v>8</v>
      </c>
      <c r="L10" s="127">
        <v>17</v>
      </c>
      <c r="M10" s="127">
        <v>17</v>
      </c>
    </row>
    <row r="11" spans="1:13">
      <c r="A11" s="127">
        <v>8</v>
      </c>
      <c r="B11" s="127">
        <v>320</v>
      </c>
      <c r="C11" s="127">
        <v>15</v>
      </c>
      <c r="D11" s="127">
        <v>15</v>
      </c>
      <c r="E11" s="127">
        <v>7</v>
      </c>
      <c r="F11" s="127">
        <v>6</v>
      </c>
      <c r="G11" s="127">
        <v>8</v>
      </c>
      <c r="H11" s="127">
        <v>8</v>
      </c>
      <c r="I11" s="127">
        <v>9</v>
      </c>
      <c r="J11" s="127">
        <v>7</v>
      </c>
      <c r="K11" s="127">
        <v>8</v>
      </c>
      <c r="L11" s="127">
        <v>18</v>
      </c>
      <c r="M11" s="127">
        <v>18</v>
      </c>
    </row>
    <row r="12" spans="1:13">
      <c r="A12" s="127">
        <v>9</v>
      </c>
      <c r="B12" s="127">
        <v>330</v>
      </c>
      <c r="C12" s="127">
        <v>16</v>
      </c>
      <c r="D12" s="127">
        <v>16</v>
      </c>
      <c r="E12" s="127">
        <v>8</v>
      </c>
      <c r="F12" s="127">
        <v>7</v>
      </c>
      <c r="G12" s="127">
        <v>9</v>
      </c>
      <c r="H12" s="127">
        <v>9</v>
      </c>
      <c r="I12" s="127">
        <v>10</v>
      </c>
      <c r="J12" s="127">
        <v>8</v>
      </c>
      <c r="K12" s="127">
        <v>9</v>
      </c>
      <c r="L12" s="127">
        <v>19</v>
      </c>
      <c r="M12" s="127">
        <v>19</v>
      </c>
    </row>
    <row r="13" spans="1:13">
      <c r="A13" s="127">
        <v>10</v>
      </c>
      <c r="B13" s="127">
        <v>340</v>
      </c>
      <c r="C13" s="127">
        <v>17</v>
      </c>
      <c r="D13" s="127">
        <v>17</v>
      </c>
      <c r="E13" s="127">
        <v>8</v>
      </c>
      <c r="F13" s="127">
        <v>7</v>
      </c>
      <c r="G13" s="127">
        <v>9</v>
      </c>
      <c r="H13" s="127">
        <v>10</v>
      </c>
      <c r="I13" s="127">
        <v>11</v>
      </c>
      <c r="J13" s="127">
        <v>8</v>
      </c>
      <c r="K13" s="127">
        <v>10</v>
      </c>
      <c r="L13" s="127">
        <v>20</v>
      </c>
      <c r="M13" s="127">
        <v>20</v>
      </c>
    </row>
    <row r="14" spans="1:13">
      <c r="A14" s="127">
        <v>11</v>
      </c>
      <c r="B14" s="127">
        <v>360</v>
      </c>
      <c r="C14" s="127">
        <v>17</v>
      </c>
      <c r="D14" s="127">
        <v>18</v>
      </c>
      <c r="E14" s="127">
        <v>8</v>
      </c>
      <c r="F14" s="127">
        <v>8</v>
      </c>
      <c r="G14" s="127">
        <v>10</v>
      </c>
      <c r="H14" s="127">
        <v>10</v>
      </c>
      <c r="I14" s="127">
        <v>11</v>
      </c>
      <c r="J14" s="127">
        <v>9</v>
      </c>
      <c r="K14" s="127">
        <v>10</v>
      </c>
      <c r="L14" s="127">
        <v>21</v>
      </c>
      <c r="M14" s="127">
        <v>21</v>
      </c>
    </row>
    <row r="15" spans="1:13">
      <c r="A15" s="127">
        <v>12</v>
      </c>
      <c r="B15" s="127">
        <v>370</v>
      </c>
      <c r="C15" s="127">
        <v>18</v>
      </c>
      <c r="D15" s="127">
        <v>19</v>
      </c>
      <c r="E15" s="127">
        <v>9</v>
      </c>
      <c r="F15" s="127">
        <v>8</v>
      </c>
      <c r="G15" s="127">
        <v>1</v>
      </c>
      <c r="H15" s="127">
        <v>11</v>
      </c>
      <c r="I15" s="127">
        <v>12</v>
      </c>
      <c r="J15" s="127">
        <v>10</v>
      </c>
      <c r="K15" s="127">
        <v>11</v>
      </c>
      <c r="L15" s="127">
        <v>22</v>
      </c>
      <c r="M15" s="127">
        <v>22</v>
      </c>
    </row>
    <row r="16" spans="1:13">
      <c r="A16" s="127">
        <v>13</v>
      </c>
      <c r="B16" s="127">
        <v>380</v>
      </c>
      <c r="C16" s="127">
        <v>19</v>
      </c>
      <c r="D16" s="127">
        <v>19</v>
      </c>
      <c r="E16" s="127">
        <v>9</v>
      </c>
      <c r="F16" s="127">
        <v>9</v>
      </c>
      <c r="G16" s="127">
        <v>1</v>
      </c>
      <c r="H16" s="127">
        <v>12</v>
      </c>
      <c r="I16" s="127">
        <v>13</v>
      </c>
      <c r="J16" s="127">
        <v>10</v>
      </c>
      <c r="K16" s="127">
        <v>12</v>
      </c>
      <c r="L16" s="127">
        <v>23</v>
      </c>
      <c r="M16" s="127">
        <v>23</v>
      </c>
    </row>
    <row r="17" spans="1:13">
      <c r="A17" s="127">
        <v>14</v>
      </c>
      <c r="B17" s="127">
        <v>390</v>
      </c>
      <c r="C17" s="127">
        <v>19</v>
      </c>
      <c r="D17" s="127">
        <v>20</v>
      </c>
      <c r="E17" s="127">
        <v>10</v>
      </c>
      <c r="F17" s="127">
        <v>9</v>
      </c>
      <c r="G17" s="127">
        <v>12</v>
      </c>
      <c r="H17" s="127">
        <v>13</v>
      </c>
      <c r="I17" s="127">
        <v>13</v>
      </c>
      <c r="J17" s="127">
        <v>11</v>
      </c>
      <c r="K17" s="127">
        <v>12</v>
      </c>
      <c r="L17" s="127">
        <v>24</v>
      </c>
      <c r="M17" s="127">
        <v>23</v>
      </c>
    </row>
    <row r="18" spans="1:13">
      <c r="A18" s="127">
        <v>15</v>
      </c>
      <c r="B18" s="127">
        <v>510</v>
      </c>
      <c r="C18" s="127">
        <v>20</v>
      </c>
      <c r="D18" s="127">
        <v>21</v>
      </c>
      <c r="E18" s="127">
        <v>10</v>
      </c>
      <c r="F18" s="127">
        <v>10</v>
      </c>
      <c r="G18" s="127">
        <v>13</v>
      </c>
      <c r="H18" s="127">
        <v>13</v>
      </c>
      <c r="I18" s="127">
        <v>14</v>
      </c>
      <c r="J18" s="127">
        <v>12</v>
      </c>
      <c r="K18" s="127">
        <v>13</v>
      </c>
      <c r="L18" s="127">
        <v>25</v>
      </c>
      <c r="M18" s="127">
        <v>24</v>
      </c>
    </row>
    <row r="19" spans="1:13">
      <c r="A19" s="127">
        <v>16</v>
      </c>
      <c r="B19" s="127">
        <v>420</v>
      </c>
      <c r="C19" s="127">
        <v>21</v>
      </c>
      <c r="D19" s="127">
        <v>22</v>
      </c>
      <c r="E19" s="127">
        <v>11</v>
      </c>
      <c r="F19" s="127">
        <v>11</v>
      </c>
      <c r="G19" s="127">
        <v>13</v>
      </c>
      <c r="H19" s="127">
        <v>14</v>
      </c>
      <c r="I19" s="127">
        <v>15</v>
      </c>
      <c r="J19" s="127">
        <v>13</v>
      </c>
      <c r="K19" s="127">
        <v>14</v>
      </c>
      <c r="L19" s="127">
        <v>25</v>
      </c>
      <c r="M19" s="127">
        <v>25</v>
      </c>
    </row>
    <row r="20" spans="1:13">
      <c r="A20" s="127">
        <v>17</v>
      </c>
      <c r="B20" s="127">
        <v>430</v>
      </c>
      <c r="C20" s="127">
        <v>21</v>
      </c>
      <c r="D20" s="127">
        <v>22</v>
      </c>
      <c r="E20" s="127">
        <v>11</v>
      </c>
      <c r="F20" s="127">
        <v>11</v>
      </c>
      <c r="G20" s="127">
        <v>14</v>
      </c>
      <c r="H20" s="127">
        <v>15</v>
      </c>
      <c r="I20" s="127"/>
      <c r="J20" s="127">
        <v>14</v>
      </c>
      <c r="K20" s="127">
        <v>15</v>
      </c>
      <c r="L20" s="127">
        <v>26</v>
      </c>
      <c r="M20" s="127">
        <v>26</v>
      </c>
    </row>
    <row r="21" spans="1:13">
      <c r="A21" s="127">
        <v>18</v>
      </c>
      <c r="B21" s="127">
        <v>440</v>
      </c>
      <c r="C21" s="127">
        <v>22</v>
      </c>
      <c r="D21" s="127">
        <v>23</v>
      </c>
      <c r="E21" s="127">
        <v>12</v>
      </c>
      <c r="F21" s="127">
        <v>12</v>
      </c>
      <c r="G21" s="127">
        <v>15</v>
      </c>
      <c r="H21" s="127"/>
      <c r="I21" s="127"/>
      <c r="J21" s="127">
        <v>15</v>
      </c>
      <c r="K21" s="127">
        <v>15</v>
      </c>
      <c r="L21" s="127">
        <v>27</v>
      </c>
      <c r="M21" s="127">
        <v>27</v>
      </c>
    </row>
    <row r="22" spans="1:13">
      <c r="A22" s="127">
        <v>19</v>
      </c>
      <c r="B22" s="127">
        <v>450</v>
      </c>
      <c r="C22" s="127">
        <v>22</v>
      </c>
      <c r="D22" s="127">
        <v>24</v>
      </c>
      <c r="E22" s="127">
        <v>12</v>
      </c>
      <c r="F22" s="127">
        <v>13</v>
      </c>
      <c r="G22" s="127">
        <v>15</v>
      </c>
      <c r="H22" s="127"/>
      <c r="I22" s="127"/>
      <c r="J22" s="127"/>
      <c r="K22" s="127"/>
      <c r="L22" s="127">
        <v>28</v>
      </c>
      <c r="M22" s="127">
        <v>27</v>
      </c>
    </row>
    <row r="23" spans="1:13">
      <c r="A23" s="127">
        <v>20</v>
      </c>
      <c r="B23" s="127">
        <v>460</v>
      </c>
      <c r="C23" s="127">
        <v>23</v>
      </c>
      <c r="D23" s="127">
        <v>24</v>
      </c>
      <c r="E23" s="127">
        <v>13</v>
      </c>
      <c r="F23" s="127">
        <v>15</v>
      </c>
      <c r="G23" s="127"/>
      <c r="H23" s="127"/>
      <c r="I23" s="127"/>
      <c r="J23" s="127"/>
      <c r="K23" s="127"/>
      <c r="L23" s="127">
        <v>29</v>
      </c>
      <c r="M23" s="127">
        <v>28</v>
      </c>
    </row>
    <row r="24" spans="1:13">
      <c r="A24" s="127">
        <v>21</v>
      </c>
      <c r="B24" s="127">
        <v>470</v>
      </c>
      <c r="C24" s="127">
        <v>24</v>
      </c>
      <c r="D24" s="127">
        <v>25</v>
      </c>
      <c r="E24" s="127">
        <v>13</v>
      </c>
      <c r="F24" s="127"/>
      <c r="G24" s="127"/>
      <c r="H24" s="127"/>
      <c r="I24" s="127"/>
      <c r="J24" s="127"/>
      <c r="K24" s="127"/>
      <c r="L24" s="127">
        <v>29</v>
      </c>
      <c r="M24" s="127">
        <v>29</v>
      </c>
    </row>
    <row r="25" spans="1:13">
      <c r="A25" s="127">
        <v>22</v>
      </c>
      <c r="B25" s="127">
        <v>480</v>
      </c>
      <c r="C25" s="127">
        <v>24</v>
      </c>
      <c r="D25" s="127">
        <v>25</v>
      </c>
      <c r="E25" s="127">
        <v>14</v>
      </c>
      <c r="F25" s="127"/>
      <c r="G25" s="127"/>
      <c r="H25" s="127"/>
      <c r="I25" s="127"/>
      <c r="J25" s="127"/>
      <c r="K25" s="127"/>
      <c r="L25" s="127">
        <v>30</v>
      </c>
      <c r="M25" s="127">
        <v>29</v>
      </c>
    </row>
    <row r="26" spans="1:13">
      <c r="A26" s="127">
        <v>23</v>
      </c>
      <c r="B26" s="127">
        <v>490</v>
      </c>
      <c r="C26" s="127">
        <v>25</v>
      </c>
      <c r="D26" s="127">
        <v>26</v>
      </c>
      <c r="E26" s="127">
        <v>14</v>
      </c>
      <c r="F26" s="127"/>
      <c r="G26" s="127"/>
      <c r="H26" s="127"/>
      <c r="I26" s="127"/>
      <c r="J26" s="127"/>
      <c r="K26" s="127"/>
      <c r="L26" s="127">
        <v>30</v>
      </c>
      <c r="M26" s="127">
        <v>30</v>
      </c>
    </row>
    <row r="27" spans="1:13">
      <c r="A27" s="127">
        <v>24</v>
      </c>
      <c r="B27" s="127">
        <v>500</v>
      </c>
      <c r="C27" s="127">
        <v>25</v>
      </c>
      <c r="D27" s="127">
        <v>26</v>
      </c>
      <c r="E27" s="127">
        <v>15</v>
      </c>
      <c r="F27" s="127"/>
      <c r="G27" s="127"/>
      <c r="H27" s="127"/>
      <c r="I27" s="127"/>
      <c r="J27" s="127"/>
      <c r="K27" s="127"/>
      <c r="L27" s="127">
        <v>31</v>
      </c>
      <c r="M27" s="127">
        <v>31</v>
      </c>
    </row>
    <row r="28" spans="1:13">
      <c r="A28" s="127">
        <v>25</v>
      </c>
      <c r="B28" s="127">
        <v>510</v>
      </c>
      <c r="C28" s="127">
        <v>26</v>
      </c>
      <c r="D28" s="127">
        <v>27</v>
      </c>
      <c r="E28" s="127"/>
      <c r="F28" s="127"/>
      <c r="G28" s="127"/>
      <c r="H28" s="127"/>
      <c r="I28" s="127"/>
      <c r="J28" s="127"/>
      <c r="K28" s="127"/>
      <c r="L28" s="127">
        <v>32</v>
      </c>
      <c r="M28" s="127">
        <v>31</v>
      </c>
    </row>
    <row r="29" spans="1:13">
      <c r="A29" s="127">
        <v>26</v>
      </c>
      <c r="B29" s="127">
        <v>530</v>
      </c>
      <c r="C29" s="127">
        <v>26</v>
      </c>
      <c r="D29" s="127">
        <v>27</v>
      </c>
      <c r="E29" s="127"/>
      <c r="F29" s="127"/>
      <c r="G29" s="127"/>
      <c r="H29" s="127"/>
      <c r="I29" s="127"/>
      <c r="J29" s="127"/>
      <c r="K29" s="127"/>
      <c r="L29" s="127">
        <v>33</v>
      </c>
      <c r="M29" s="127">
        <v>32</v>
      </c>
    </row>
    <row r="30" spans="1:13">
      <c r="A30" s="127">
        <v>27</v>
      </c>
      <c r="B30" s="127">
        <v>540</v>
      </c>
      <c r="C30" s="127">
        <v>27</v>
      </c>
      <c r="D30" s="127">
        <v>28</v>
      </c>
      <c r="E30" s="127"/>
      <c r="F30" s="127"/>
      <c r="G30" s="127"/>
      <c r="H30" s="127"/>
      <c r="I30" s="127"/>
      <c r="J30" s="127"/>
      <c r="K30" s="127"/>
      <c r="L30" s="127">
        <v>33</v>
      </c>
      <c r="M30" s="127">
        <v>32</v>
      </c>
    </row>
    <row r="31" spans="1:13">
      <c r="A31" s="127">
        <v>28</v>
      </c>
      <c r="B31" s="127">
        <v>550</v>
      </c>
      <c r="C31" s="127">
        <v>27</v>
      </c>
      <c r="D31" s="127">
        <v>29</v>
      </c>
      <c r="E31" s="127"/>
      <c r="F31" s="127"/>
      <c r="G31" s="127"/>
      <c r="H31" s="127"/>
      <c r="I31" s="127"/>
      <c r="J31" s="127"/>
      <c r="K31" s="127"/>
      <c r="L31" s="127">
        <v>34</v>
      </c>
      <c r="M31" s="127">
        <v>33</v>
      </c>
    </row>
    <row r="32" spans="1:13">
      <c r="A32" s="127">
        <v>29</v>
      </c>
      <c r="B32" s="127">
        <v>560</v>
      </c>
      <c r="C32" s="127">
        <v>28</v>
      </c>
      <c r="D32" s="127">
        <v>29</v>
      </c>
      <c r="E32" s="127"/>
      <c r="F32" s="127"/>
      <c r="G32" s="127"/>
      <c r="H32" s="127"/>
      <c r="I32" s="127"/>
      <c r="J32" s="127"/>
      <c r="K32" s="127"/>
      <c r="L32" s="127">
        <v>35</v>
      </c>
      <c r="M32" s="127">
        <v>34</v>
      </c>
    </row>
    <row r="33" spans="1:13">
      <c r="A33" s="127">
        <v>30</v>
      </c>
      <c r="B33" s="127">
        <v>570</v>
      </c>
      <c r="C33" s="127">
        <v>28</v>
      </c>
      <c r="D33" s="127">
        <v>30</v>
      </c>
      <c r="E33" s="127"/>
      <c r="F33" s="127"/>
      <c r="G33" s="127"/>
      <c r="H33" s="127"/>
      <c r="I33" s="127"/>
      <c r="J33" s="127"/>
      <c r="K33" s="127"/>
      <c r="L33" s="127">
        <v>36</v>
      </c>
      <c r="M33" s="127">
        <v>34</v>
      </c>
    </row>
    <row r="34" spans="1:13">
      <c r="A34" s="127">
        <v>31</v>
      </c>
      <c r="B34" s="127">
        <v>580</v>
      </c>
      <c r="C34" s="127">
        <v>29</v>
      </c>
      <c r="D34" s="127">
        <v>30</v>
      </c>
      <c r="E34" s="127"/>
      <c r="F34" s="127"/>
      <c r="G34" s="127"/>
      <c r="H34" s="127"/>
      <c r="I34" s="127"/>
      <c r="J34" s="127"/>
      <c r="K34" s="127"/>
      <c r="L34" s="127">
        <v>36</v>
      </c>
      <c r="M34" s="127">
        <v>35</v>
      </c>
    </row>
    <row r="35" spans="1:13">
      <c r="A35" s="127">
        <v>32</v>
      </c>
      <c r="B35" s="127">
        <v>580</v>
      </c>
      <c r="C35" s="127">
        <v>29</v>
      </c>
      <c r="D35" s="127">
        <v>31</v>
      </c>
      <c r="E35" s="127"/>
      <c r="F35" s="127"/>
      <c r="G35" s="127"/>
      <c r="H35" s="127"/>
      <c r="I35" s="127"/>
      <c r="J35" s="127"/>
      <c r="K35" s="127"/>
      <c r="L35" s="127">
        <v>37</v>
      </c>
      <c r="M35" s="127">
        <v>36</v>
      </c>
    </row>
    <row r="36" spans="1:13">
      <c r="A36" s="127">
        <v>33</v>
      </c>
      <c r="B36" s="127">
        <v>590</v>
      </c>
      <c r="C36" s="127">
        <v>29</v>
      </c>
      <c r="D36" s="127">
        <v>32</v>
      </c>
      <c r="E36" s="127"/>
      <c r="F36" s="127"/>
      <c r="G36" s="127"/>
      <c r="H36" s="127"/>
      <c r="I36" s="127"/>
      <c r="J36" s="127"/>
      <c r="K36" s="127"/>
      <c r="L36" s="127">
        <v>38</v>
      </c>
      <c r="M36" s="127">
        <v>37</v>
      </c>
    </row>
    <row r="37" spans="1:13">
      <c r="A37" s="127">
        <v>34</v>
      </c>
      <c r="B37" s="127">
        <v>600</v>
      </c>
      <c r="C37" s="127">
        <v>30</v>
      </c>
      <c r="D37" s="127">
        <v>33</v>
      </c>
      <c r="E37" s="127"/>
      <c r="F37" s="127"/>
      <c r="G37" s="127"/>
      <c r="H37" s="127"/>
      <c r="I37" s="127"/>
      <c r="J37" s="127"/>
      <c r="K37" s="127"/>
      <c r="L37" s="127">
        <v>39</v>
      </c>
      <c r="M37" s="127">
        <v>38</v>
      </c>
    </row>
    <row r="38" spans="1:13">
      <c r="A38" s="127">
        <v>35</v>
      </c>
      <c r="B38" s="127">
        <v>610</v>
      </c>
      <c r="C38" s="127">
        <v>30</v>
      </c>
      <c r="D38" s="127">
        <v>33</v>
      </c>
      <c r="E38" s="127"/>
      <c r="F38" s="127"/>
      <c r="G38" s="127"/>
      <c r="H38" s="127"/>
      <c r="I38" s="127"/>
      <c r="J38" s="127"/>
      <c r="K38" s="127"/>
      <c r="L38" s="127">
        <v>40</v>
      </c>
      <c r="M38" s="127">
        <v>40</v>
      </c>
    </row>
    <row r="39" spans="1:13">
      <c r="A39" s="127">
        <v>36</v>
      </c>
      <c r="B39" s="127">
        <v>620</v>
      </c>
      <c r="C39" s="127">
        <v>31</v>
      </c>
      <c r="D39" s="127">
        <v>34</v>
      </c>
      <c r="E39" s="127"/>
      <c r="F39" s="127"/>
      <c r="G39" s="127"/>
      <c r="H39" s="127"/>
      <c r="I39" s="127"/>
      <c r="J39" s="127"/>
      <c r="K39" s="127"/>
      <c r="L39" s="127"/>
      <c r="M39" s="127"/>
    </row>
    <row r="40" spans="1:13">
      <c r="A40" s="127">
        <v>37</v>
      </c>
      <c r="B40" s="127">
        <v>630</v>
      </c>
      <c r="C40" s="127">
        <v>31</v>
      </c>
      <c r="D40" s="127">
        <v>34</v>
      </c>
      <c r="E40" s="127"/>
      <c r="F40" s="127"/>
      <c r="G40" s="127"/>
      <c r="H40" s="127"/>
      <c r="I40" s="127"/>
      <c r="J40" s="127"/>
      <c r="K40" s="127"/>
      <c r="L40" s="127"/>
      <c r="M40" s="127"/>
    </row>
    <row r="41" spans="1:13">
      <c r="A41" s="127">
        <v>38</v>
      </c>
      <c r="B41" s="127">
        <v>630</v>
      </c>
      <c r="C41" s="127">
        <v>32</v>
      </c>
      <c r="D41" s="127">
        <v>35</v>
      </c>
      <c r="E41" s="127"/>
      <c r="F41" s="127"/>
      <c r="G41" s="127"/>
      <c r="H41" s="127"/>
      <c r="I41" s="127"/>
      <c r="J41" s="127"/>
      <c r="K41" s="127"/>
      <c r="L41" s="127"/>
      <c r="M41" s="127"/>
    </row>
    <row r="42" spans="1:13">
      <c r="A42" s="127">
        <v>39</v>
      </c>
      <c r="B42" s="127">
        <v>640</v>
      </c>
      <c r="C42" s="127">
        <v>32</v>
      </c>
      <c r="D42" s="127">
        <v>35</v>
      </c>
      <c r="E42" s="127"/>
      <c r="F42" s="127"/>
      <c r="G42" s="127"/>
      <c r="H42" s="127"/>
      <c r="I42" s="127"/>
      <c r="J42" s="127"/>
      <c r="K42" s="127"/>
      <c r="L42" s="127"/>
      <c r="M42" s="127"/>
    </row>
    <row r="43" spans="1:13">
      <c r="A43" s="127">
        <v>40</v>
      </c>
      <c r="B43" s="127">
        <v>650</v>
      </c>
      <c r="C43" s="127">
        <v>33</v>
      </c>
      <c r="D43" s="127">
        <v>36</v>
      </c>
      <c r="E43" s="127"/>
      <c r="F43" s="127"/>
      <c r="G43" s="127"/>
      <c r="H43" s="127"/>
      <c r="I43" s="127"/>
      <c r="J43" s="127"/>
      <c r="K43" s="127"/>
      <c r="L43" s="127"/>
      <c r="M43" s="127"/>
    </row>
    <row r="44" spans="1:13">
      <c r="A44" s="127">
        <v>41</v>
      </c>
      <c r="B44" s="127">
        <v>660</v>
      </c>
      <c r="C44" s="127">
        <v>33</v>
      </c>
      <c r="D44" s="127">
        <v>37</v>
      </c>
      <c r="E44" s="127"/>
      <c r="F44" s="127"/>
      <c r="G44" s="127"/>
      <c r="H44" s="127"/>
      <c r="I44" s="127"/>
      <c r="J44" s="127"/>
      <c r="K44" s="127"/>
      <c r="L44" s="127"/>
      <c r="M44" s="127"/>
    </row>
    <row r="45" spans="1:13">
      <c r="A45" s="127">
        <v>42</v>
      </c>
      <c r="B45" s="127">
        <v>660</v>
      </c>
      <c r="C45" s="127">
        <v>34</v>
      </c>
      <c r="D45" s="127">
        <v>38</v>
      </c>
      <c r="E45" s="127"/>
      <c r="F45" s="127"/>
      <c r="G45" s="127"/>
      <c r="H45" s="127"/>
      <c r="I45" s="127"/>
      <c r="J45" s="127"/>
      <c r="K45" s="127"/>
      <c r="L45" s="127"/>
      <c r="M45" s="127"/>
    </row>
    <row r="46" spans="1:13">
      <c r="A46" s="127">
        <v>43</v>
      </c>
      <c r="B46" s="127">
        <v>670</v>
      </c>
      <c r="C46" s="127">
        <v>34</v>
      </c>
      <c r="D46" s="127">
        <v>39</v>
      </c>
      <c r="E46" s="127"/>
      <c r="F46" s="127"/>
      <c r="G46" s="127"/>
      <c r="H46" s="127"/>
      <c r="I46" s="127"/>
      <c r="J46" s="127"/>
      <c r="K46" s="127"/>
      <c r="L46" s="127"/>
      <c r="M46" s="127"/>
    </row>
    <row r="47" spans="1:13">
      <c r="A47" s="127">
        <v>44</v>
      </c>
      <c r="B47" s="127">
        <v>680</v>
      </c>
      <c r="C47" s="127">
        <v>35</v>
      </c>
      <c r="D47" s="127">
        <v>40</v>
      </c>
      <c r="E47" s="127"/>
      <c r="F47" s="127"/>
      <c r="G47" s="127"/>
      <c r="H47" s="127"/>
      <c r="I47" s="127"/>
      <c r="J47" s="127"/>
      <c r="K47" s="127"/>
      <c r="L47" s="127"/>
      <c r="M47" s="127"/>
    </row>
    <row r="48" spans="1:13">
      <c r="A48" s="127">
        <v>45</v>
      </c>
      <c r="B48" s="127">
        <v>680</v>
      </c>
      <c r="C48" s="127">
        <v>36</v>
      </c>
      <c r="D48" s="127"/>
      <c r="E48" s="127"/>
      <c r="F48" s="127"/>
      <c r="G48" s="127"/>
      <c r="H48" s="127"/>
      <c r="I48" s="127"/>
      <c r="J48" s="127"/>
      <c r="K48" s="127"/>
      <c r="L48" s="127"/>
      <c r="M48" s="127"/>
    </row>
    <row r="49" spans="1:13">
      <c r="A49" s="127">
        <v>46</v>
      </c>
      <c r="B49" s="127">
        <v>690</v>
      </c>
      <c r="C49" s="127">
        <v>36</v>
      </c>
      <c r="D49" s="127"/>
      <c r="E49" s="127"/>
      <c r="F49" s="127"/>
      <c r="G49" s="127"/>
      <c r="H49" s="127"/>
      <c r="I49" s="127"/>
      <c r="J49" s="127"/>
      <c r="K49" s="127"/>
      <c r="L49" s="127"/>
      <c r="M49" s="127"/>
    </row>
    <row r="50" spans="1:13">
      <c r="A50" s="127">
        <v>47</v>
      </c>
      <c r="B50" s="127">
        <v>690</v>
      </c>
      <c r="C50" s="127">
        <v>37</v>
      </c>
      <c r="D50" s="127"/>
      <c r="E50" s="127"/>
      <c r="F50" s="127"/>
      <c r="G50" s="127"/>
      <c r="H50" s="127"/>
      <c r="I50" s="127"/>
      <c r="J50" s="127"/>
      <c r="K50" s="127"/>
      <c r="L50" s="127"/>
      <c r="M50" s="127"/>
    </row>
    <row r="51" spans="1:13">
      <c r="A51" s="127">
        <v>48</v>
      </c>
      <c r="B51" s="127">
        <v>700</v>
      </c>
      <c r="C51" s="127">
        <v>38</v>
      </c>
      <c r="D51" s="127"/>
      <c r="E51" s="127"/>
      <c r="F51" s="127"/>
      <c r="G51" s="127"/>
      <c r="H51" s="127"/>
      <c r="I51" s="127"/>
      <c r="J51" s="127"/>
      <c r="K51" s="127"/>
      <c r="L51" s="127"/>
      <c r="M51" s="127"/>
    </row>
    <row r="52" spans="1:13">
      <c r="A52" s="127">
        <v>49</v>
      </c>
      <c r="B52" s="127">
        <v>710</v>
      </c>
      <c r="C52" s="127">
        <v>38</v>
      </c>
      <c r="D52" s="127"/>
      <c r="E52" s="127"/>
      <c r="F52" s="127"/>
      <c r="G52" s="127"/>
      <c r="H52" s="127"/>
      <c r="I52" s="127"/>
      <c r="J52" s="127"/>
      <c r="K52" s="127"/>
      <c r="L52" s="127"/>
      <c r="M52" s="127"/>
    </row>
    <row r="53" spans="1:13">
      <c r="A53" s="127">
        <v>50</v>
      </c>
      <c r="B53" s="127">
        <v>710</v>
      </c>
      <c r="C53" s="127">
        <v>39</v>
      </c>
      <c r="D53" s="127"/>
      <c r="E53" s="127"/>
      <c r="F53" s="127"/>
      <c r="G53" s="127"/>
      <c r="H53" s="127"/>
      <c r="I53" s="127"/>
      <c r="J53" s="127"/>
      <c r="K53" s="127"/>
      <c r="L53" s="127"/>
      <c r="M53" s="127"/>
    </row>
    <row r="54" spans="1:13">
      <c r="A54" s="127">
        <v>51</v>
      </c>
      <c r="B54" s="127">
        <v>720</v>
      </c>
      <c r="C54" s="127">
        <v>40</v>
      </c>
      <c r="D54" s="127"/>
      <c r="E54" s="127"/>
      <c r="F54" s="127"/>
      <c r="G54" s="127"/>
      <c r="H54" s="127"/>
      <c r="I54" s="127"/>
      <c r="J54" s="127"/>
      <c r="K54" s="127"/>
      <c r="L54" s="127"/>
      <c r="M54" s="127"/>
    </row>
    <row r="55" spans="1:13">
      <c r="A55" s="127">
        <v>52</v>
      </c>
      <c r="B55" s="127">
        <v>730</v>
      </c>
      <c r="C55" s="127">
        <v>40</v>
      </c>
      <c r="D55" s="127"/>
      <c r="E55" s="127"/>
      <c r="F55" s="127"/>
      <c r="G55" s="127"/>
      <c r="H55" s="127"/>
      <c r="I55" s="127"/>
      <c r="J55" s="127"/>
      <c r="K55" s="127"/>
      <c r="L55" s="127"/>
      <c r="M55" s="127"/>
    </row>
    <row r="56" spans="1:13">
      <c r="A56" s="127">
        <v>53</v>
      </c>
      <c r="B56" s="127">
        <v>740</v>
      </c>
      <c r="C56" s="127"/>
      <c r="D56" s="127"/>
      <c r="E56" s="127"/>
      <c r="F56" s="127"/>
      <c r="G56" s="127"/>
      <c r="H56" s="127"/>
      <c r="I56" s="127"/>
      <c r="J56" s="127"/>
      <c r="K56" s="127"/>
      <c r="L56" s="127"/>
      <c r="M56" s="127"/>
    </row>
    <row r="57" spans="1:13">
      <c r="A57" s="127">
        <v>54</v>
      </c>
      <c r="B57" s="127">
        <v>750</v>
      </c>
      <c r="C57" s="127"/>
      <c r="D57" s="127"/>
      <c r="E57" s="127"/>
      <c r="F57" s="127"/>
      <c r="G57" s="127"/>
      <c r="H57" s="127"/>
      <c r="I57" s="127"/>
      <c r="J57" s="127"/>
      <c r="K57" s="127"/>
      <c r="L57" s="127"/>
      <c r="M57" s="127"/>
    </row>
    <row r="58" spans="1:13">
      <c r="A58" s="127">
        <v>55</v>
      </c>
      <c r="B58" s="127">
        <v>770</v>
      </c>
      <c r="C58" s="127"/>
      <c r="D58" s="127"/>
      <c r="E58" s="127"/>
      <c r="F58" s="127"/>
      <c r="G58" s="127"/>
      <c r="H58" s="127"/>
      <c r="I58" s="127"/>
      <c r="J58" s="127"/>
      <c r="K58" s="127"/>
      <c r="L58" s="127"/>
      <c r="M58" s="127"/>
    </row>
    <row r="59" spans="1:13">
      <c r="A59" s="127">
        <v>56</v>
      </c>
      <c r="B59" s="127">
        <v>780</v>
      </c>
      <c r="C59" s="127"/>
      <c r="D59" s="127"/>
      <c r="E59" s="127"/>
      <c r="F59" s="127"/>
      <c r="G59" s="127"/>
      <c r="H59" s="127"/>
      <c r="I59" s="127"/>
      <c r="J59" s="127"/>
      <c r="K59" s="127"/>
      <c r="L59" s="127"/>
      <c r="M59" s="127"/>
    </row>
    <row r="60" spans="1:13">
      <c r="A60" s="127">
        <v>57</v>
      </c>
      <c r="B60" s="127">
        <v>790</v>
      </c>
      <c r="C60" s="127"/>
      <c r="D60" s="127"/>
      <c r="E60" s="127"/>
      <c r="F60" s="127"/>
      <c r="G60" s="127"/>
      <c r="H60" s="127"/>
      <c r="I60" s="127"/>
      <c r="J60" s="127"/>
      <c r="K60" s="127"/>
      <c r="L60" s="127"/>
      <c r="M60" s="127"/>
    </row>
    <row r="61" spans="1:13">
      <c r="A61" s="127">
        <v>58</v>
      </c>
      <c r="B61" s="127">
        <v>800</v>
      </c>
      <c r="C61" s="127"/>
      <c r="D61" s="127"/>
      <c r="E61" s="127"/>
      <c r="F61" s="127"/>
      <c r="G61" s="127"/>
      <c r="H61" s="127"/>
      <c r="I61" s="127"/>
      <c r="J61" s="127"/>
      <c r="K61" s="127"/>
      <c r="L61" s="127"/>
      <c r="M61" s="127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5"/>
  <dimension ref="A1:M61"/>
  <sheetViews>
    <sheetView topLeftCell="A3" workbookViewId="0">
      <selection activeCell="A3" sqref="A3:M61"/>
    </sheetView>
  </sheetViews>
  <sheetFormatPr defaultColWidth="9.140625" defaultRowHeight="15"/>
  <cols>
    <col min="1" max="3" width="11.140625" style="210" customWidth="1"/>
    <col min="4" max="4" width="11.28515625" style="210" customWidth="1"/>
    <col min="5" max="5" width="10.85546875" style="75" customWidth="1"/>
    <col min="6" max="10" width="9.140625" style="75"/>
    <col min="11" max="11" width="10.28515625" style="75" customWidth="1"/>
    <col min="12" max="16384" width="9.140625" style="75"/>
  </cols>
  <sheetData>
    <row r="1" spans="1:13" ht="36">
      <c r="A1" s="128" t="s">
        <v>11</v>
      </c>
    </row>
    <row r="2" spans="1:13" ht="42.75" customHeight="1">
      <c r="A2" s="92" t="s">
        <v>126</v>
      </c>
      <c r="B2" s="92" t="s">
        <v>133</v>
      </c>
      <c r="C2" s="92" t="s">
        <v>134</v>
      </c>
      <c r="D2" s="92" t="s">
        <v>135</v>
      </c>
      <c r="E2" s="92" t="s">
        <v>61</v>
      </c>
      <c r="F2" s="92" t="s">
        <v>65</v>
      </c>
      <c r="G2" s="92" t="s">
        <v>71</v>
      </c>
      <c r="H2" s="92" t="s">
        <v>96</v>
      </c>
      <c r="I2" s="92" t="s">
        <v>141</v>
      </c>
      <c r="J2" s="92" t="s">
        <v>139</v>
      </c>
      <c r="K2" s="92" t="s">
        <v>140</v>
      </c>
      <c r="L2" s="92" t="s">
        <v>143</v>
      </c>
      <c r="M2" s="92" t="s">
        <v>144</v>
      </c>
    </row>
    <row r="3" spans="1:13">
      <c r="A3" s="127">
        <v>0</v>
      </c>
      <c r="B3" s="127">
        <v>200</v>
      </c>
      <c r="C3" s="127">
        <v>10</v>
      </c>
      <c r="D3" s="127">
        <v>10</v>
      </c>
      <c r="E3" s="127">
        <v>1</v>
      </c>
      <c r="F3" s="127">
        <v>1</v>
      </c>
      <c r="G3" s="127">
        <v>1</v>
      </c>
      <c r="H3" s="127">
        <v>1</v>
      </c>
      <c r="I3" s="127">
        <v>2</v>
      </c>
      <c r="J3" s="127">
        <v>1</v>
      </c>
      <c r="K3" s="127">
        <v>1</v>
      </c>
      <c r="L3" s="127">
        <v>10</v>
      </c>
      <c r="M3" s="127">
        <v>10</v>
      </c>
    </row>
    <row r="4" spans="1:13">
      <c r="A4" s="127">
        <v>1</v>
      </c>
      <c r="B4" s="127">
        <v>200</v>
      </c>
      <c r="C4" s="127">
        <v>10</v>
      </c>
      <c r="D4" s="127">
        <v>10</v>
      </c>
      <c r="E4" s="127">
        <v>1</v>
      </c>
      <c r="F4" s="127">
        <v>1</v>
      </c>
      <c r="G4" s="127">
        <v>1</v>
      </c>
      <c r="H4" s="127">
        <v>1</v>
      </c>
      <c r="I4" s="127">
        <v>3</v>
      </c>
      <c r="J4" s="127">
        <v>1</v>
      </c>
      <c r="K4" s="127">
        <v>1</v>
      </c>
      <c r="L4" s="127">
        <v>10</v>
      </c>
      <c r="M4" s="127">
        <v>11</v>
      </c>
    </row>
    <row r="5" spans="1:13">
      <c r="A5" s="127">
        <v>2</v>
      </c>
      <c r="B5" s="127">
        <v>210</v>
      </c>
      <c r="C5" s="127">
        <v>10</v>
      </c>
      <c r="D5" s="127">
        <v>10</v>
      </c>
      <c r="E5" s="127">
        <v>1</v>
      </c>
      <c r="F5" s="127">
        <v>1</v>
      </c>
      <c r="G5" s="127">
        <v>2</v>
      </c>
      <c r="H5" s="127">
        <v>2</v>
      </c>
      <c r="I5" s="127">
        <v>5</v>
      </c>
      <c r="J5" s="127">
        <v>2</v>
      </c>
      <c r="K5" s="127">
        <v>2</v>
      </c>
      <c r="L5" s="127">
        <v>11</v>
      </c>
      <c r="M5" s="127">
        <v>13</v>
      </c>
    </row>
    <row r="6" spans="1:13">
      <c r="A6" s="127">
        <v>3</v>
      </c>
      <c r="B6" s="127">
        <v>230</v>
      </c>
      <c r="C6" s="127">
        <v>11</v>
      </c>
      <c r="D6" s="127">
        <v>10</v>
      </c>
      <c r="E6" s="127">
        <v>2</v>
      </c>
      <c r="F6" s="127">
        <v>2</v>
      </c>
      <c r="G6" s="127">
        <v>4</v>
      </c>
      <c r="H6" s="127">
        <v>4</v>
      </c>
      <c r="I6" s="127">
        <v>6</v>
      </c>
      <c r="J6" s="127">
        <v>3</v>
      </c>
      <c r="K6" s="127">
        <v>3</v>
      </c>
      <c r="L6" s="127">
        <v>13</v>
      </c>
      <c r="M6" s="127">
        <v>14</v>
      </c>
    </row>
    <row r="7" spans="1:13">
      <c r="A7" s="127">
        <v>4</v>
      </c>
      <c r="B7" s="127">
        <v>250</v>
      </c>
      <c r="C7" s="127">
        <v>12</v>
      </c>
      <c r="D7" s="127">
        <v>11</v>
      </c>
      <c r="E7" s="127">
        <v>3</v>
      </c>
      <c r="F7" s="127">
        <v>3</v>
      </c>
      <c r="G7" s="127">
        <v>5</v>
      </c>
      <c r="H7" s="127">
        <v>5</v>
      </c>
      <c r="I7" s="127">
        <v>7</v>
      </c>
      <c r="J7" s="127">
        <v>4</v>
      </c>
      <c r="K7" s="127">
        <v>4</v>
      </c>
      <c r="L7" s="127">
        <v>15</v>
      </c>
      <c r="M7" s="127">
        <v>15</v>
      </c>
    </row>
    <row r="8" spans="1:13">
      <c r="A8" s="127">
        <v>5</v>
      </c>
      <c r="B8" s="127">
        <v>270</v>
      </c>
      <c r="C8" s="127">
        <v>13</v>
      </c>
      <c r="D8" s="127">
        <v>12</v>
      </c>
      <c r="E8" s="127">
        <v>4</v>
      </c>
      <c r="F8" s="127">
        <v>5</v>
      </c>
      <c r="G8" s="127">
        <v>6</v>
      </c>
      <c r="H8" s="127">
        <v>6</v>
      </c>
      <c r="I8" s="127">
        <v>8</v>
      </c>
      <c r="J8" s="127">
        <v>5</v>
      </c>
      <c r="K8" s="127">
        <v>5</v>
      </c>
      <c r="L8" s="127">
        <v>16</v>
      </c>
      <c r="M8" s="127">
        <v>16</v>
      </c>
    </row>
    <row r="9" spans="1:13">
      <c r="A9" s="127">
        <v>6</v>
      </c>
      <c r="B9" s="127">
        <v>280</v>
      </c>
      <c r="C9" s="127">
        <v>14</v>
      </c>
      <c r="D9" s="127">
        <v>13</v>
      </c>
      <c r="E9" s="127">
        <v>5</v>
      </c>
      <c r="F9" s="127">
        <v>5</v>
      </c>
      <c r="G9" s="127">
        <v>7</v>
      </c>
      <c r="H9" s="127">
        <v>7</v>
      </c>
      <c r="I9" s="127">
        <v>9</v>
      </c>
      <c r="J9" s="127">
        <v>6</v>
      </c>
      <c r="K9" s="127">
        <v>6</v>
      </c>
      <c r="L9" s="127">
        <v>17</v>
      </c>
      <c r="M9" s="127">
        <v>17</v>
      </c>
    </row>
    <row r="10" spans="1:13">
      <c r="A10" s="127">
        <v>7</v>
      </c>
      <c r="B10" s="127">
        <v>300</v>
      </c>
      <c r="C10" s="127">
        <v>15</v>
      </c>
      <c r="D10" s="127">
        <v>14</v>
      </c>
      <c r="E10" s="127">
        <v>5</v>
      </c>
      <c r="F10" s="127">
        <v>6</v>
      </c>
      <c r="G10" s="127">
        <v>8</v>
      </c>
      <c r="H10" s="127">
        <v>8</v>
      </c>
      <c r="I10" s="127">
        <v>10</v>
      </c>
      <c r="J10" s="127">
        <v>6</v>
      </c>
      <c r="K10" s="127">
        <v>6</v>
      </c>
      <c r="L10" s="127">
        <v>18</v>
      </c>
      <c r="M10" s="127">
        <v>18</v>
      </c>
    </row>
    <row r="11" spans="1:13">
      <c r="A11" s="127">
        <v>8</v>
      </c>
      <c r="B11" s="127">
        <v>320</v>
      </c>
      <c r="C11" s="127">
        <v>16</v>
      </c>
      <c r="D11" s="127">
        <v>15</v>
      </c>
      <c r="E11" s="127">
        <v>6</v>
      </c>
      <c r="F11" s="127">
        <v>7</v>
      </c>
      <c r="G11" s="127">
        <v>8</v>
      </c>
      <c r="H11" s="127">
        <v>8</v>
      </c>
      <c r="I11" s="127">
        <v>11</v>
      </c>
      <c r="J11" s="127">
        <v>7</v>
      </c>
      <c r="K11" s="127">
        <v>7</v>
      </c>
      <c r="L11" s="127">
        <v>19</v>
      </c>
      <c r="M11" s="127">
        <v>18</v>
      </c>
    </row>
    <row r="12" spans="1:13">
      <c r="A12" s="127">
        <v>9</v>
      </c>
      <c r="B12" s="127">
        <v>340</v>
      </c>
      <c r="C12" s="127">
        <v>16</v>
      </c>
      <c r="D12" s="127">
        <v>16</v>
      </c>
      <c r="E12" s="127">
        <v>7</v>
      </c>
      <c r="F12" s="127">
        <v>7</v>
      </c>
      <c r="G12" s="127">
        <v>9</v>
      </c>
      <c r="H12" s="127">
        <v>9</v>
      </c>
      <c r="I12" s="127">
        <v>12</v>
      </c>
      <c r="J12" s="127">
        <v>7</v>
      </c>
      <c r="K12" s="127">
        <v>7</v>
      </c>
      <c r="L12" s="127">
        <v>20</v>
      </c>
      <c r="M12" s="127">
        <v>19</v>
      </c>
    </row>
    <row r="13" spans="1:13">
      <c r="A13" s="127">
        <v>10</v>
      </c>
      <c r="B13" s="127">
        <v>350</v>
      </c>
      <c r="C13" s="127">
        <v>17</v>
      </c>
      <c r="D13" s="127">
        <v>16</v>
      </c>
      <c r="E13" s="127">
        <v>7</v>
      </c>
      <c r="F13" s="127">
        <v>8</v>
      </c>
      <c r="G13" s="127">
        <v>9</v>
      </c>
      <c r="H13" s="127">
        <v>9</v>
      </c>
      <c r="I13" s="127">
        <v>12</v>
      </c>
      <c r="J13" s="127">
        <v>8</v>
      </c>
      <c r="K13" s="127">
        <v>8</v>
      </c>
      <c r="L13" s="127">
        <v>21</v>
      </c>
      <c r="M13" s="127">
        <v>20</v>
      </c>
    </row>
    <row r="14" spans="1:13">
      <c r="A14" s="127">
        <v>11</v>
      </c>
      <c r="B14" s="127">
        <v>360</v>
      </c>
      <c r="C14" s="127">
        <v>18</v>
      </c>
      <c r="D14" s="127">
        <v>17</v>
      </c>
      <c r="E14" s="127">
        <v>8</v>
      </c>
      <c r="F14" s="127">
        <v>8</v>
      </c>
      <c r="G14" s="127">
        <v>10</v>
      </c>
      <c r="H14" s="127">
        <v>10</v>
      </c>
      <c r="I14" s="127">
        <v>13</v>
      </c>
      <c r="J14" s="127">
        <v>9</v>
      </c>
      <c r="K14" s="127">
        <v>9</v>
      </c>
      <c r="L14" s="127">
        <v>22</v>
      </c>
      <c r="M14" s="127">
        <v>21</v>
      </c>
    </row>
    <row r="15" spans="1:13">
      <c r="A15" s="127">
        <v>12</v>
      </c>
      <c r="B15" s="127">
        <v>370</v>
      </c>
      <c r="C15" s="127">
        <v>18</v>
      </c>
      <c r="D15" s="127">
        <v>18</v>
      </c>
      <c r="E15" s="127">
        <v>8</v>
      </c>
      <c r="F15" s="127">
        <v>9</v>
      </c>
      <c r="G15" s="127">
        <v>11</v>
      </c>
      <c r="H15" s="127">
        <v>11</v>
      </c>
      <c r="I15" s="127">
        <v>13</v>
      </c>
      <c r="J15" s="127">
        <v>9</v>
      </c>
      <c r="K15" s="127">
        <v>9</v>
      </c>
      <c r="L15" s="127">
        <v>23</v>
      </c>
      <c r="M15" s="127">
        <v>22</v>
      </c>
    </row>
    <row r="16" spans="1:13">
      <c r="A16" s="127">
        <v>13</v>
      </c>
      <c r="B16" s="127">
        <v>390</v>
      </c>
      <c r="C16" s="127">
        <v>19</v>
      </c>
      <c r="D16" s="127">
        <v>19</v>
      </c>
      <c r="E16" s="127">
        <v>9</v>
      </c>
      <c r="F16" s="127">
        <v>9</v>
      </c>
      <c r="G16" s="127">
        <v>11</v>
      </c>
      <c r="H16" s="127">
        <v>12</v>
      </c>
      <c r="I16" s="127">
        <v>14</v>
      </c>
      <c r="J16" s="127">
        <v>10</v>
      </c>
      <c r="K16" s="127">
        <v>10</v>
      </c>
      <c r="L16" s="127">
        <v>24</v>
      </c>
      <c r="M16" s="127">
        <v>22</v>
      </c>
    </row>
    <row r="17" spans="1:13">
      <c r="A17" s="127">
        <v>14</v>
      </c>
      <c r="B17" s="127">
        <v>410</v>
      </c>
      <c r="C17" s="127">
        <v>20</v>
      </c>
      <c r="D17" s="127">
        <v>19</v>
      </c>
      <c r="E17" s="127">
        <v>9</v>
      </c>
      <c r="F17" s="127">
        <v>10</v>
      </c>
      <c r="G17" s="127">
        <v>12</v>
      </c>
      <c r="H17" s="127">
        <v>13</v>
      </c>
      <c r="I17" s="127">
        <v>14</v>
      </c>
      <c r="J17" s="127">
        <v>10</v>
      </c>
      <c r="K17" s="127">
        <v>10</v>
      </c>
      <c r="L17" s="127">
        <v>25</v>
      </c>
      <c r="M17" s="127">
        <v>23</v>
      </c>
    </row>
    <row r="18" spans="1:13">
      <c r="A18" s="127">
        <v>15</v>
      </c>
      <c r="B18" s="127">
        <v>420</v>
      </c>
      <c r="C18" s="127">
        <v>20</v>
      </c>
      <c r="D18" s="127">
        <v>20</v>
      </c>
      <c r="E18" s="127">
        <v>9</v>
      </c>
      <c r="F18" s="127">
        <v>11</v>
      </c>
      <c r="G18" s="127">
        <v>13</v>
      </c>
      <c r="H18" s="127">
        <v>13</v>
      </c>
      <c r="I18" s="127">
        <v>15</v>
      </c>
      <c r="J18" s="127">
        <v>11</v>
      </c>
      <c r="K18" s="127">
        <v>11</v>
      </c>
      <c r="L18" s="127">
        <v>26</v>
      </c>
      <c r="M18" s="127">
        <v>24</v>
      </c>
    </row>
    <row r="19" spans="1:13">
      <c r="A19" s="127">
        <v>16</v>
      </c>
      <c r="B19" s="127">
        <v>430</v>
      </c>
      <c r="C19" s="127">
        <v>21</v>
      </c>
      <c r="D19" s="127">
        <v>21</v>
      </c>
      <c r="E19" s="127">
        <v>10</v>
      </c>
      <c r="F19" s="127">
        <v>12</v>
      </c>
      <c r="G19" s="127">
        <v>14</v>
      </c>
      <c r="H19" s="127">
        <v>14</v>
      </c>
      <c r="I19" s="127">
        <v>15</v>
      </c>
      <c r="J19" s="127">
        <v>12</v>
      </c>
      <c r="K19" s="127">
        <v>12</v>
      </c>
      <c r="L19" s="127">
        <v>27</v>
      </c>
      <c r="M19" s="127">
        <v>24</v>
      </c>
    </row>
    <row r="20" spans="1:13">
      <c r="A20" s="127">
        <v>17</v>
      </c>
      <c r="B20" s="127">
        <v>450</v>
      </c>
      <c r="C20" s="127">
        <v>21</v>
      </c>
      <c r="D20" s="127">
        <v>22</v>
      </c>
      <c r="E20" s="127">
        <v>11</v>
      </c>
      <c r="F20" s="127">
        <v>12</v>
      </c>
      <c r="G20" s="127">
        <v>14</v>
      </c>
      <c r="H20" s="127">
        <v>15</v>
      </c>
      <c r="I20" s="127"/>
      <c r="J20" s="127">
        <v>13</v>
      </c>
      <c r="K20" s="127">
        <v>13</v>
      </c>
      <c r="L20" s="127">
        <v>28</v>
      </c>
      <c r="M20" s="127">
        <v>25</v>
      </c>
    </row>
    <row r="21" spans="1:13">
      <c r="A21" s="127">
        <v>18</v>
      </c>
      <c r="B21" s="127">
        <v>460</v>
      </c>
      <c r="C21" s="127">
        <v>22</v>
      </c>
      <c r="D21" s="127">
        <v>23</v>
      </c>
      <c r="E21" s="127">
        <v>11</v>
      </c>
      <c r="F21" s="127">
        <v>13</v>
      </c>
      <c r="G21" s="127">
        <v>15</v>
      </c>
      <c r="H21" s="127"/>
      <c r="I21" s="127"/>
      <c r="J21" s="127">
        <v>15</v>
      </c>
      <c r="K21" s="127">
        <v>15</v>
      </c>
      <c r="L21" s="127">
        <v>28</v>
      </c>
      <c r="M21" s="127">
        <v>26</v>
      </c>
    </row>
    <row r="22" spans="1:13">
      <c r="A22" s="127">
        <v>19</v>
      </c>
      <c r="B22" s="127">
        <v>470</v>
      </c>
      <c r="C22" s="127">
        <v>22</v>
      </c>
      <c r="D22" s="127">
        <v>23</v>
      </c>
      <c r="E22" s="127">
        <v>12</v>
      </c>
      <c r="F22" s="127">
        <v>14</v>
      </c>
      <c r="G22" s="127">
        <v>15</v>
      </c>
      <c r="H22" s="127"/>
      <c r="I22" s="127"/>
      <c r="J22" s="127"/>
      <c r="K22" s="127"/>
      <c r="L22" s="127">
        <v>29</v>
      </c>
      <c r="M22" s="127">
        <v>26</v>
      </c>
    </row>
    <row r="23" spans="1:13">
      <c r="A23" s="127">
        <v>20</v>
      </c>
      <c r="B23" s="127">
        <v>480</v>
      </c>
      <c r="C23" s="127">
        <v>23</v>
      </c>
      <c r="D23" s="127">
        <v>24</v>
      </c>
      <c r="E23" s="127">
        <v>12</v>
      </c>
      <c r="F23" s="127">
        <v>15</v>
      </c>
      <c r="G23" s="127"/>
      <c r="H23" s="127"/>
      <c r="I23" s="127"/>
      <c r="J23" s="127"/>
      <c r="K23" s="127"/>
      <c r="L23" s="127">
        <v>29</v>
      </c>
      <c r="M23" s="127">
        <v>27</v>
      </c>
    </row>
    <row r="24" spans="1:13">
      <c r="A24" s="127">
        <v>21</v>
      </c>
      <c r="B24" s="127">
        <v>490</v>
      </c>
      <c r="C24" s="127">
        <v>23</v>
      </c>
      <c r="D24" s="127">
        <v>24</v>
      </c>
      <c r="E24" s="127">
        <v>13</v>
      </c>
      <c r="F24" s="127"/>
      <c r="G24" s="127"/>
      <c r="H24" s="127"/>
      <c r="I24" s="127"/>
      <c r="J24" s="127"/>
      <c r="K24" s="127"/>
      <c r="L24" s="127">
        <v>30</v>
      </c>
      <c r="M24" s="127">
        <v>28</v>
      </c>
    </row>
    <row r="25" spans="1:13">
      <c r="A25" s="127">
        <v>22</v>
      </c>
      <c r="B25" s="127">
        <v>500</v>
      </c>
      <c r="C25" s="127">
        <v>23</v>
      </c>
      <c r="D25" s="127">
        <v>25</v>
      </c>
      <c r="E25" s="127">
        <v>13</v>
      </c>
      <c r="F25" s="127"/>
      <c r="G25" s="127"/>
      <c r="H25" s="127"/>
      <c r="I25" s="127"/>
      <c r="J25" s="127"/>
      <c r="K25" s="127"/>
      <c r="L25" s="127">
        <v>31</v>
      </c>
      <c r="M25" s="127">
        <v>28</v>
      </c>
    </row>
    <row r="26" spans="1:13">
      <c r="A26" s="127">
        <v>23</v>
      </c>
      <c r="B26" s="127">
        <v>510</v>
      </c>
      <c r="C26" s="127">
        <v>24</v>
      </c>
      <c r="D26" s="127">
        <v>26</v>
      </c>
      <c r="E26" s="127">
        <v>14</v>
      </c>
      <c r="F26" s="127"/>
      <c r="G26" s="127"/>
      <c r="H26" s="127"/>
      <c r="I26" s="127"/>
      <c r="J26" s="127"/>
      <c r="K26" s="127"/>
      <c r="L26" s="127">
        <v>31</v>
      </c>
      <c r="M26" s="127">
        <v>29</v>
      </c>
    </row>
    <row r="27" spans="1:13">
      <c r="A27" s="127">
        <v>24</v>
      </c>
      <c r="B27" s="127">
        <v>520</v>
      </c>
      <c r="C27" s="127">
        <v>24</v>
      </c>
      <c r="D27" s="127">
        <v>26</v>
      </c>
      <c r="E27" s="127">
        <v>15</v>
      </c>
      <c r="F27" s="127"/>
      <c r="G27" s="127"/>
      <c r="H27" s="127"/>
      <c r="I27" s="127"/>
      <c r="J27" s="127"/>
      <c r="K27" s="127"/>
      <c r="L27" s="127">
        <v>32</v>
      </c>
      <c r="M27" s="127">
        <v>30</v>
      </c>
    </row>
    <row r="28" spans="1:13">
      <c r="A28" s="127">
        <v>25</v>
      </c>
      <c r="B28" s="127">
        <v>530</v>
      </c>
      <c r="C28" s="127">
        <v>25</v>
      </c>
      <c r="D28" s="127">
        <v>27</v>
      </c>
      <c r="E28" s="127"/>
      <c r="F28" s="127"/>
      <c r="G28" s="127"/>
      <c r="H28" s="127"/>
      <c r="I28" s="127"/>
      <c r="J28" s="127"/>
      <c r="K28" s="127"/>
      <c r="L28" s="127">
        <v>33</v>
      </c>
      <c r="M28" s="127">
        <v>30</v>
      </c>
    </row>
    <row r="29" spans="1:13">
      <c r="A29" s="127">
        <v>26</v>
      </c>
      <c r="B29" s="127">
        <v>540</v>
      </c>
      <c r="C29" s="127">
        <v>25</v>
      </c>
      <c r="D29" s="127">
        <v>27</v>
      </c>
      <c r="E29" s="127"/>
      <c r="F29" s="127"/>
      <c r="G29" s="127"/>
      <c r="H29" s="127"/>
      <c r="I29" s="127"/>
      <c r="J29" s="127"/>
      <c r="K29" s="127"/>
      <c r="L29" s="127">
        <v>34</v>
      </c>
      <c r="M29" s="127">
        <v>31</v>
      </c>
    </row>
    <row r="30" spans="1:13">
      <c r="A30" s="127">
        <v>27</v>
      </c>
      <c r="B30" s="127">
        <v>550</v>
      </c>
      <c r="C30" s="127">
        <v>26</v>
      </c>
      <c r="D30" s="127">
        <v>28</v>
      </c>
      <c r="E30" s="127"/>
      <c r="F30" s="127"/>
      <c r="G30" s="127"/>
      <c r="H30" s="127"/>
      <c r="I30" s="127"/>
      <c r="J30" s="127"/>
      <c r="K30" s="127"/>
      <c r="L30" s="127">
        <v>34</v>
      </c>
      <c r="M30" s="127">
        <v>32</v>
      </c>
    </row>
    <row r="31" spans="1:13">
      <c r="A31" s="127">
        <v>28</v>
      </c>
      <c r="B31" s="127">
        <v>560</v>
      </c>
      <c r="C31" s="127">
        <v>26</v>
      </c>
      <c r="D31" s="127">
        <v>29</v>
      </c>
      <c r="E31" s="127"/>
      <c r="F31" s="127"/>
      <c r="G31" s="127"/>
      <c r="H31" s="127"/>
      <c r="I31" s="127"/>
      <c r="J31" s="127"/>
      <c r="K31" s="127"/>
      <c r="L31" s="127">
        <v>35</v>
      </c>
      <c r="M31" s="127">
        <v>33</v>
      </c>
    </row>
    <row r="32" spans="1:13">
      <c r="A32" s="127">
        <v>29</v>
      </c>
      <c r="B32" s="127">
        <v>570</v>
      </c>
      <c r="C32" s="127">
        <v>27</v>
      </c>
      <c r="D32" s="127">
        <v>29</v>
      </c>
      <c r="E32" s="127"/>
      <c r="F32" s="127"/>
      <c r="G32" s="127"/>
      <c r="H32" s="127"/>
      <c r="I32" s="127"/>
      <c r="J32" s="127"/>
      <c r="K32" s="127"/>
      <c r="L32" s="127">
        <v>36</v>
      </c>
      <c r="M32" s="127">
        <v>34</v>
      </c>
    </row>
    <row r="33" spans="1:13">
      <c r="A33" s="127">
        <v>30</v>
      </c>
      <c r="B33" s="127">
        <v>580</v>
      </c>
      <c r="C33" s="127">
        <v>27</v>
      </c>
      <c r="D33" s="127">
        <v>30</v>
      </c>
      <c r="E33" s="127"/>
      <c r="F33" s="127"/>
      <c r="G33" s="127"/>
      <c r="H33" s="127"/>
      <c r="I33" s="127"/>
      <c r="J33" s="127"/>
      <c r="K33" s="127"/>
      <c r="L33" s="127">
        <v>37</v>
      </c>
      <c r="M33" s="127">
        <v>35</v>
      </c>
    </row>
    <row r="34" spans="1:13">
      <c r="A34" s="127">
        <v>31</v>
      </c>
      <c r="B34" s="127">
        <v>590</v>
      </c>
      <c r="C34" s="127">
        <v>28</v>
      </c>
      <c r="D34" s="127">
        <v>31</v>
      </c>
      <c r="E34" s="127"/>
      <c r="F34" s="127"/>
      <c r="G34" s="127"/>
      <c r="H34" s="127"/>
      <c r="I34" s="127"/>
      <c r="J34" s="127"/>
      <c r="K34" s="127"/>
      <c r="L34" s="127">
        <v>38</v>
      </c>
      <c r="M34" s="127">
        <v>36</v>
      </c>
    </row>
    <row r="35" spans="1:13">
      <c r="A35" s="127">
        <v>32</v>
      </c>
      <c r="B35" s="127">
        <v>600</v>
      </c>
      <c r="C35" s="127">
        <v>28</v>
      </c>
      <c r="D35" s="127">
        <v>31</v>
      </c>
      <c r="E35" s="127"/>
      <c r="F35" s="127"/>
      <c r="G35" s="127"/>
      <c r="H35" s="127"/>
      <c r="I35" s="127"/>
      <c r="J35" s="127"/>
      <c r="K35" s="127"/>
      <c r="L35" s="127">
        <v>38</v>
      </c>
      <c r="M35" s="127">
        <v>37</v>
      </c>
    </row>
    <row r="36" spans="1:13">
      <c r="A36" s="127">
        <v>33</v>
      </c>
      <c r="B36" s="127">
        <v>600</v>
      </c>
      <c r="C36" s="127">
        <v>28</v>
      </c>
      <c r="D36" s="127">
        <v>32</v>
      </c>
      <c r="E36" s="127"/>
      <c r="F36" s="127"/>
      <c r="G36" s="127"/>
      <c r="H36" s="127"/>
      <c r="I36" s="127"/>
      <c r="J36" s="127"/>
      <c r="K36" s="127"/>
      <c r="L36" s="127">
        <v>39</v>
      </c>
      <c r="M36" s="127">
        <v>38</v>
      </c>
    </row>
    <row r="37" spans="1:13">
      <c r="A37" s="127">
        <v>34</v>
      </c>
      <c r="B37" s="127">
        <v>610</v>
      </c>
      <c r="C37" s="127">
        <v>29</v>
      </c>
      <c r="D37" s="127">
        <v>32</v>
      </c>
      <c r="E37" s="127"/>
      <c r="F37" s="127"/>
      <c r="G37" s="127"/>
      <c r="H37" s="127"/>
      <c r="I37" s="127"/>
      <c r="J37" s="127"/>
      <c r="K37" s="127"/>
      <c r="L37" s="127">
        <v>40</v>
      </c>
      <c r="M37" s="127">
        <v>39</v>
      </c>
    </row>
    <row r="38" spans="1:13">
      <c r="A38" s="127">
        <v>35</v>
      </c>
      <c r="B38" s="127">
        <v>620</v>
      </c>
      <c r="C38" s="127">
        <v>29</v>
      </c>
      <c r="D38" s="127">
        <v>33</v>
      </c>
      <c r="E38" s="127"/>
      <c r="F38" s="127"/>
      <c r="G38" s="127"/>
      <c r="H38" s="127"/>
      <c r="I38" s="127"/>
      <c r="J38" s="127"/>
      <c r="K38" s="127"/>
      <c r="L38" s="127">
        <v>40</v>
      </c>
      <c r="M38" s="127">
        <v>40</v>
      </c>
    </row>
    <row r="39" spans="1:13">
      <c r="A39" s="127">
        <v>36</v>
      </c>
      <c r="B39" s="127">
        <v>630</v>
      </c>
      <c r="C39" s="127">
        <v>30</v>
      </c>
      <c r="D39" s="127">
        <v>33</v>
      </c>
      <c r="E39" s="127"/>
      <c r="F39" s="127"/>
      <c r="G39" s="127"/>
      <c r="H39" s="127"/>
      <c r="I39" s="127"/>
      <c r="J39" s="127"/>
      <c r="K39" s="127"/>
      <c r="L39" s="127"/>
      <c r="M39" s="127"/>
    </row>
    <row r="40" spans="1:13">
      <c r="A40" s="127">
        <v>37</v>
      </c>
      <c r="B40" s="127">
        <v>640</v>
      </c>
      <c r="C40" s="127">
        <v>30</v>
      </c>
      <c r="D40" s="127">
        <v>34</v>
      </c>
      <c r="E40" s="127"/>
      <c r="F40" s="127"/>
      <c r="G40" s="127"/>
      <c r="H40" s="127"/>
      <c r="I40" s="127"/>
      <c r="J40" s="127"/>
      <c r="K40" s="127"/>
      <c r="L40" s="127"/>
      <c r="M40" s="127"/>
    </row>
    <row r="41" spans="1:13">
      <c r="A41" s="127">
        <v>38</v>
      </c>
      <c r="B41" s="127">
        <v>650</v>
      </c>
      <c r="C41" s="127">
        <v>31</v>
      </c>
      <c r="D41" s="127">
        <v>35</v>
      </c>
      <c r="E41" s="127"/>
      <c r="F41" s="127"/>
      <c r="G41" s="127"/>
      <c r="H41" s="127"/>
      <c r="I41" s="127"/>
      <c r="J41" s="127"/>
      <c r="K41" s="127"/>
      <c r="L41" s="127"/>
      <c r="M41" s="127"/>
    </row>
    <row r="42" spans="1:13">
      <c r="A42" s="127">
        <v>39</v>
      </c>
      <c r="B42" s="127">
        <v>660</v>
      </c>
      <c r="C42" s="127">
        <v>31</v>
      </c>
      <c r="D42" s="127">
        <v>36</v>
      </c>
      <c r="E42" s="127"/>
      <c r="F42" s="127"/>
      <c r="G42" s="127"/>
      <c r="H42" s="127"/>
      <c r="I42" s="127"/>
      <c r="J42" s="127"/>
      <c r="K42" s="127"/>
      <c r="L42" s="127"/>
      <c r="M42" s="127"/>
    </row>
    <row r="43" spans="1:13">
      <c r="A43" s="127">
        <v>40</v>
      </c>
      <c r="B43" s="127">
        <v>670</v>
      </c>
      <c r="C43" s="127">
        <v>32</v>
      </c>
      <c r="D43" s="127">
        <v>37</v>
      </c>
      <c r="E43" s="127"/>
      <c r="F43" s="127"/>
      <c r="G43" s="127"/>
      <c r="H43" s="127"/>
      <c r="I43" s="127"/>
      <c r="J43" s="127"/>
      <c r="K43" s="127"/>
      <c r="L43" s="127"/>
      <c r="M43" s="127"/>
    </row>
    <row r="44" spans="1:13">
      <c r="A44" s="127">
        <v>41</v>
      </c>
      <c r="B44" s="127">
        <v>680</v>
      </c>
      <c r="C44" s="127">
        <v>32</v>
      </c>
      <c r="D44" s="127">
        <v>37</v>
      </c>
      <c r="E44" s="127"/>
      <c r="F44" s="127"/>
      <c r="G44" s="127"/>
      <c r="H44" s="127"/>
      <c r="I44" s="127"/>
      <c r="J44" s="127"/>
      <c r="K44" s="127"/>
      <c r="L44" s="127"/>
      <c r="M44" s="127"/>
    </row>
    <row r="45" spans="1:13">
      <c r="A45" s="127">
        <v>42</v>
      </c>
      <c r="B45" s="127">
        <v>690</v>
      </c>
      <c r="C45" s="127">
        <v>33</v>
      </c>
      <c r="D45" s="127">
        <v>38</v>
      </c>
      <c r="E45" s="127"/>
      <c r="F45" s="127"/>
      <c r="G45" s="127"/>
      <c r="H45" s="127"/>
      <c r="I45" s="127"/>
      <c r="J45" s="127"/>
      <c r="K45" s="127"/>
      <c r="L45" s="127"/>
      <c r="M45" s="127"/>
    </row>
    <row r="46" spans="1:13">
      <c r="A46" s="127">
        <v>43</v>
      </c>
      <c r="B46" s="127">
        <v>700</v>
      </c>
      <c r="C46" s="127">
        <v>33</v>
      </c>
      <c r="D46" s="127">
        <v>39</v>
      </c>
      <c r="E46" s="127"/>
      <c r="F46" s="127"/>
      <c r="G46" s="127"/>
      <c r="H46" s="127"/>
      <c r="I46" s="127"/>
      <c r="J46" s="127"/>
      <c r="K46" s="127"/>
      <c r="L46" s="127"/>
      <c r="M46" s="127"/>
    </row>
    <row r="47" spans="1:13">
      <c r="A47" s="127">
        <v>44</v>
      </c>
      <c r="B47" s="127">
        <v>710</v>
      </c>
      <c r="C47" s="127">
        <v>34</v>
      </c>
      <c r="D47" s="127">
        <v>40</v>
      </c>
      <c r="E47" s="127"/>
      <c r="F47" s="127"/>
      <c r="G47" s="127"/>
      <c r="H47" s="127"/>
      <c r="I47" s="127"/>
      <c r="J47" s="127"/>
      <c r="K47" s="127"/>
      <c r="L47" s="127"/>
      <c r="M47" s="127"/>
    </row>
    <row r="48" spans="1:13">
      <c r="A48" s="127">
        <v>45</v>
      </c>
      <c r="B48" s="127">
        <v>710</v>
      </c>
      <c r="C48" s="127">
        <v>35</v>
      </c>
      <c r="D48" s="127"/>
      <c r="E48" s="127"/>
      <c r="F48" s="127"/>
      <c r="G48" s="127"/>
      <c r="H48" s="127"/>
      <c r="I48" s="127"/>
      <c r="J48" s="127"/>
      <c r="K48" s="127"/>
      <c r="L48" s="127"/>
      <c r="M48" s="127"/>
    </row>
    <row r="49" spans="1:13">
      <c r="A49" s="127">
        <v>46</v>
      </c>
      <c r="B49" s="127">
        <v>720</v>
      </c>
      <c r="C49" s="127">
        <v>35</v>
      </c>
      <c r="D49" s="127"/>
      <c r="E49" s="127"/>
      <c r="F49" s="127"/>
      <c r="G49" s="127"/>
      <c r="H49" s="127"/>
      <c r="I49" s="127"/>
      <c r="J49" s="127"/>
      <c r="K49" s="127"/>
      <c r="L49" s="127"/>
      <c r="M49" s="127"/>
    </row>
    <row r="50" spans="1:13">
      <c r="A50" s="127">
        <v>47</v>
      </c>
      <c r="B50" s="127">
        <v>730</v>
      </c>
      <c r="C50" s="127">
        <v>36</v>
      </c>
      <c r="D50" s="127"/>
      <c r="E50" s="127"/>
      <c r="F50" s="127"/>
      <c r="G50" s="127"/>
      <c r="H50" s="127"/>
      <c r="I50" s="127"/>
      <c r="J50" s="127"/>
      <c r="K50" s="127"/>
      <c r="L50" s="127"/>
      <c r="M50" s="127"/>
    </row>
    <row r="51" spans="1:13">
      <c r="A51" s="127">
        <v>48</v>
      </c>
      <c r="B51" s="127">
        <v>730</v>
      </c>
      <c r="C51" s="127">
        <v>37</v>
      </c>
      <c r="D51" s="127"/>
      <c r="E51" s="127"/>
      <c r="F51" s="127"/>
      <c r="G51" s="127"/>
      <c r="H51" s="127"/>
      <c r="I51" s="127"/>
      <c r="J51" s="127"/>
      <c r="K51" s="127"/>
      <c r="L51" s="127"/>
      <c r="M51" s="127"/>
    </row>
    <row r="52" spans="1:13">
      <c r="A52" s="127">
        <v>49</v>
      </c>
      <c r="B52" s="127">
        <v>740</v>
      </c>
      <c r="C52" s="127">
        <v>38</v>
      </c>
      <c r="D52" s="127"/>
      <c r="E52" s="127"/>
      <c r="F52" s="127"/>
      <c r="G52" s="127"/>
      <c r="H52" s="127"/>
      <c r="I52" s="127"/>
      <c r="J52" s="127"/>
      <c r="K52" s="127"/>
      <c r="L52" s="127"/>
      <c r="M52" s="127"/>
    </row>
    <row r="53" spans="1:13">
      <c r="A53" s="127">
        <v>50</v>
      </c>
      <c r="B53" s="127">
        <v>750</v>
      </c>
      <c r="C53" s="127">
        <v>39</v>
      </c>
      <c r="D53" s="127"/>
      <c r="E53" s="127"/>
      <c r="F53" s="127"/>
      <c r="G53" s="127"/>
      <c r="H53" s="127"/>
      <c r="I53" s="127"/>
      <c r="J53" s="127"/>
      <c r="K53" s="127"/>
      <c r="L53" s="127"/>
      <c r="M53" s="127"/>
    </row>
    <row r="54" spans="1:13">
      <c r="A54" s="127">
        <v>51</v>
      </c>
      <c r="B54" s="127">
        <v>750</v>
      </c>
      <c r="C54" s="127">
        <v>39</v>
      </c>
      <c r="D54" s="127"/>
      <c r="E54" s="127"/>
      <c r="F54" s="127"/>
      <c r="G54" s="127"/>
      <c r="H54" s="127"/>
      <c r="I54" s="127"/>
      <c r="J54" s="127"/>
      <c r="K54" s="127"/>
      <c r="L54" s="127"/>
      <c r="M54" s="127"/>
    </row>
    <row r="55" spans="1:13">
      <c r="A55" s="127">
        <v>52</v>
      </c>
      <c r="B55" s="127">
        <v>760</v>
      </c>
      <c r="C55" s="127">
        <v>40</v>
      </c>
      <c r="D55" s="127"/>
      <c r="E55" s="127"/>
      <c r="F55" s="127"/>
      <c r="G55" s="127"/>
      <c r="H55" s="127"/>
      <c r="I55" s="127"/>
      <c r="J55" s="127"/>
      <c r="K55" s="127"/>
      <c r="L55" s="127"/>
      <c r="M55" s="127"/>
    </row>
    <row r="56" spans="1:13">
      <c r="A56" s="127">
        <v>53</v>
      </c>
      <c r="B56" s="127">
        <v>770</v>
      </c>
      <c r="C56" s="127"/>
      <c r="D56" s="127"/>
      <c r="E56" s="127"/>
      <c r="F56" s="127"/>
      <c r="G56" s="127"/>
      <c r="H56" s="127"/>
      <c r="I56" s="127"/>
      <c r="J56" s="127"/>
      <c r="K56" s="127"/>
      <c r="L56" s="127"/>
      <c r="M56" s="127"/>
    </row>
    <row r="57" spans="1:13">
      <c r="A57" s="127">
        <v>54</v>
      </c>
      <c r="B57" s="127">
        <v>780</v>
      </c>
      <c r="C57" s="127"/>
      <c r="D57" s="127"/>
      <c r="E57" s="127"/>
      <c r="F57" s="127"/>
      <c r="G57" s="127"/>
      <c r="H57" s="127"/>
      <c r="I57" s="127"/>
      <c r="J57" s="127"/>
      <c r="K57" s="127"/>
      <c r="L57" s="127"/>
      <c r="M57" s="127"/>
    </row>
    <row r="58" spans="1:13">
      <c r="A58" s="127">
        <v>55</v>
      </c>
      <c r="B58" s="127">
        <v>790</v>
      </c>
      <c r="C58" s="127"/>
      <c r="D58" s="127"/>
      <c r="E58" s="127"/>
      <c r="F58" s="127"/>
      <c r="G58" s="127"/>
      <c r="H58" s="127"/>
      <c r="I58" s="127"/>
      <c r="J58" s="127"/>
      <c r="K58" s="127"/>
      <c r="L58" s="127"/>
      <c r="M58" s="127"/>
    </row>
    <row r="59" spans="1:13">
      <c r="A59" s="127">
        <v>56</v>
      </c>
      <c r="B59" s="127">
        <v>790</v>
      </c>
      <c r="C59" s="127"/>
      <c r="D59" s="127"/>
      <c r="E59" s="127"/>
      <c r="F59" s="127"/>
      <c r="G59" s="127"/>
      <c r="H59" s="127"/>
      <c r="I59" s="127"/>
      <c r="J59" s="127"/>
      <c r="K59" s="127"/>
      <c r="L59" s="127"/>
      <c r="M59" s="127"/>
    </row>
    <row r="60" spans="1:13">
      <c r="A60" s="127">
        <v>57</v>
      </c>
      <c r="B60" s="127">
        <v>800</v>
      </c>
      <c r="C60" s="127"/>
      <c r="D60" s="127"/>
      <c r="E60" s="127"/>
      <c r="F60" s="127"/>
      <c r="G60" s="127"/>
      <c r="H60" s="127"/>
      <c r="I60" s="127"/>
      <c r="J60" s="127"/>
      <c r="K60" s="127"/>
      <c r="L60" s="127"/>
      <c r="M60" s="127"/>
    </row>
    <row r="61" spans="1:13">
      <c r="A61" s="127">
        <v>58</v>
      </c>
      <c r="B61" s="127">
        <v>800</v>
      </c>
      <c r="C61" s="127"/>
      <c r="D61" s="127"/>
      <c r="E61" s="127"/>
      <c r="F61" s="127"/>
      <c r="G61" s="127"/>
      <c r="H61" s="127"/>
      <c r="I61" s="127"/>
      <c r="J61" s="127"/>
      <c r="K61" s="127"/>
      <c r="L61" s="127"/>
      <c r="M61" s="127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9">
    <pageSetUpPr fitToPage="1"/>
  </sheetPr>
  <dimension ref="A1:AF56"/>
  <sheetViews>
    <sheetView topLeftCell="A49" zoomScale="85" zoomScaleNormal="85" workbookViewId="0">
      <selection activeCell="Q6" sqref="Q5:Q48"/>
    </sheetView>
  </sheetViews>
  <sheetFormatPr defaultColWidth="10" defaultRowHeight="15"/>
  <cols>
    <col min="1" max="1" width="7" style="93" customWidth="1"/>
    <col min="2" max="2" width="10" style="93"/>
    <col min="3" max="6" width="10" style="92"/>
    <col min="7" max="7" width="10" style="93"/>
    <col min="8" max="8" width="10.5703125" style="92" customWidth="1"/>
    <col min="9" max="9" width="10" style="92"/>
    <col min="10" max="10" width="5.28515625" style="92" customWidth="1"/>
    <col min="11" max="13" width="10" style="93"/>
    <col min="14" max="14" width="10" style="92"/>
    <col min="15" max="15" width="9.5703125" style="92" customWidth="1"/>
    <col min="16" max="17" width="10" style="93"/>
    <col min="18" max="18" width="13" style="92" customWidth="1"/>
    <col min="19" max="19" width="3.28515625" style="92" customWidth="1"/>
    <col min="20" max="20" width="10.7109375" style="93" customWidth="1"/>
    <col min="21" max="21" width="10.5703125" style="93" customWidth="1"/>
    <col min="22" max="22" width="10" style="93"/>
    <col min="23" max="23" width="12" style="93" customWidth="1"/>
    <col min="24" max="16384" width="10" style="93"/>
  </cols>
  <sheetData>
    <row r="1" spans="1:32">
      <c r="A1" s="65" t="s">
        <v>8</v>
      </c>
    </row>
    <row r="4" spans="1:32" ht="54" customHeight="1" thickBot="1">
      <c r="B4" s="65" t="s">
        <v>117</v>
      </c>
      <c r="C4" s="132" t="s">
        <v>118</v>
      </c>
      <c r="D4" s="132" t="s">
        <v>119</v>
      </c>
      <c r="E4" s="132" t="s">
        <v>126</v>
      </c>
      <c r="F4" s="132" t="s">
        <v>139</v>
      </c>
      <c r="G4" s="132" t="s">
        <v>140</v>
      </c>
      <c r="H4" s="132" t="s">
        <v>143</v>
      </c>
      <c r="I4" s="132" t="s">
        <v>144</v>
      </c>
      <c r="J4" s="93"/>
      <c r="K4" s="65" t="s">
        <v>120</v>
      </c>
      <c r="L4" s="132" t="s">
        <v>118</v>
      </c>
      <c r="M4" s="132" t="s">
        <v>119</v>
      </c>
      <c r="N4" s="132" t="s">
        <v>126</v>
      </c>
      <c r="O4" s="132" t="s">
        <v>139</v>
      </c>
      <c r="P4" s="132" t="s">
        <v>140</v>
      </c>
      <c r="Q4" s="132" t="s">
        <v>143</v>
      </c>
      <c r="R4" s="132" t="s">
        <v>144</v>
      </c>
      <c r="S4" s="93"/>
      <c r="T4" s="141" t="s">
        <v>121</v>
      </c>
      <c r="U4" s="142" t="s">
        <v>118</v>
      </c>
      <c r="V4" s="142" t="s">
        <v>119</v>
      </c>
      <c r="W4" s="143" t="s">
        <v>126</v>
      </c>
      <c r="X4" s="153" t="s">
        <v>143</v>
      </c>
      <c r="Y4" s="153" t="s">
        <v>144</v>
      </c>
      <c r="AA4" s="65" t="s">
        <v>122</v>
      </c>
      <c r="AB4" s="132" t="s">
        <v>118</v>
      </c>
      <c r="AC4" s="132" t="s">
        <v>119</v>
      </c>
      <c r="AD4" s="65" t="s">
        <v>126</v>
      </c>
      <c r="AE4" s="65" t="s">
        <v>143</v>
      </c>
      <c r="AF4" s="65" t="s">
        <v>144</v>
      </c>
    </row>
    <row r="5" spans="1:32" ht="32.25" customHeight="1">
      <c r="B5" s="73">
        <v>1</v>
      </c>
      <c r="C5" s="92" t="s">
        <v>40</v>
      </c>
      <c r="D5" s="92" t="s">
        <v>44</v>
      </c>
      <c r="E5" s="92">
        <f>'Raw Score Check'!H4</f>
        <v>0</v>
      </c>
      <c r="F5" s="134">
        <v>0</v>
      </c>
      <c r="G5" s="134">
        <v>0</v>
      </c>
      <c r="H5" s="134">
        <v>0</v>
      </c>
      <c r="I5" s="134">
        <v>0</v>
      </c>
      <c r="J5" s="93"/>
      <c r="K5" s="133">
        <v>1</v>
      </c>
      <c r="L5" s="92" t="s">
        <v>61</v>
      </c>
      <c r="M5" s="92" t="s">
        <v>64</v>
      </c>
      <c r="N5" s="92">
        <f>'Raw Score Check'!K4</f>
        <v>0</v>
      </c>
      <c r="O5" s="134">
        <v>1</v>
      </c>
      <c r="P5" s="134">
        <v>0</v>
      </c>
      <c r="Q5" s="134">
        <v>1</v>
      </c>
      <c r="R5" s="134">
        <v>0</v>
      </c>
      <c r="S5" s="93"/>
      <c r="T5" s="144">
        <v>1</v>
      </c>
      <c r="U5" s="145" t="s">
        <v>71</v>
      </c>
      <c r="V5" s="146" t="s">
        <v>72</v>
      </c>
      <c r="W5" s="147">
        <f>'Raw Score Check'!N4</f>
        <v>0</v>
      </c>
      <c r="X5" s="154">
        <v>0</v>
      </c>
      <c r="Y5" s="154">
        <v>0</v>
      </c>
      <c r="AA5" s="73">
        <v>1</v>
      </c>
      <c r="AB5" s="92" t="s">
        <v>96</v>
      </c>
      <c r="AC5" s="92" t="s">
        <v>104</v>
      </c>
      <c r="AD5" s="93">
        <f>'Raw Score Check'!Q4</f>
        <v>0</v>
      </c>
      <c r="AE5" s="155">
        <v>0</v>
      </c>
      <c r="AF5" s="155">
        <v>0</v>
      </c>
    </row>
    <row r="6" spans="1:32" ht="32.25" customHeight="1">
      <c r="B6" s="73">
        <v>2</v>
      </c>
      <c r="C6" s="92" t="s">
        <v>52</v>
      </c>
      <c r="D6" s="92" t="s">
        <v>54</v>
      </c>
      <c r="E6" s="92">
        <f>'Raw Score Check'!H5</f>
        <v>0</v>
      </c>
      <c r="F6" s="134">
        <v>0</v>
      </c>
      <c r="G6" s="134">
        <v>0</v>
      </c>
      <c r="H6" s="134">
        <v>0</v>
      </c>
      <c r="I6" s="134">
        <v>0</v>
      </c>
      <c r="J6" s="93"/>
      <c r="K6" s="73">
        <v>2</v>
      </c>
      <c r="L6" s="92" t="s">
        <v>61</v>
      </c>
      <c r="M6" s="92" t="s">
        <v>62</v>
      </c>
      <c r="N6" s="92">
        <f>'Raw Score Check'!K5</f>
        <v>0</v>
      </c>
      <c r="O6" s="134">
        <v>0</v>
      </c>
      <c r="P6" s="134">
        <v>1</v>
      </c>
      <c r="Q6" s="134">
        <v>1</v>
      </c>
      <c r="R6" s="134">
        <v>0</v>
      </c>
      <c r="S6" s="93"/>
      <c r="T6" s="144">
        <v>2</v>
      </c>
      <c r="U6" s="148" t="s">
        <v>107</v>
      </c>
      <c r="V6" s="149" t="s">
        <v>115</v>
      </c>
      <c r="W6" s="150">
        <f>'Raw Score Check'!N5</f>
        <v>0</v>
      </c>
      <c r="X6" s="89">
        <v>0</v>
      </c>
      <c r="Y6" s="154">
        <v>0</v>
      </c>
      <c r="AA6" s="73">
        <v>2</v>
      </c>
      <c r="AB6" s="92" t="s">
        <v>96</v>
      </c>
      <c r="AC6" s="92" t="s">
        <v>97</v>
      </c>
      <c r="AD6" s="93">
        <f>'Raw Score Check'!Q5</f>
        <v>0</v>
      </c>
      <c r="AE6" s="155">
        <v>0</v>
      </c>
      <c r="AF6" s="155">
        <v>0</v>
      </c>
    </row>
    <row r="7" spans="1:32" ht="32.25" customHeight="1">
      <c r="B7" s="73">
        <v>3</v>
      </c>
      <c r="C7" s="92" t="s">
        <v>40</v>
      </c>
      <c r="D7" s="92" t="s">
        <v>46</v>
      </c>
      <c r="E7" s="92">
        <f>'Raw Score Check'!H6</f>
        <v>0</v>
      </c>
      <c r="F7" s="134">
        <v>1</v>
      </c>
      <c r="G7" s="134">
        <v>0</v>
      </c>
      <c r="H7" s="134">
        <v>0</v>
      </c>
      <c r="I7" s="134">
        <v>0</v>
      </c>
      <c r="J7" s="93"/>
      <c r="K7" s="73">
        <v>3</v>
      </c>
      <c r="L7" s="92" t="s">
        <v>65</v>
      </c>
      <c r="M7" s="92" t="s">
        <v>66</v>
      </c>
      <c r="N7" s="92">
        <f>'Raw Score Check'!K6</f>
        <v>0</v>
      </c>
      <c r="O7" s="134">
        <v>0</v>
      </c>
      <c r="P7" s="134">
        <v>0</v>
      </c>
      <c r="Q7" s="134">
        <v>0</v>
      </c>
      <c r="R7" s="134">
        <v>0</v>
      </c>
      <c r="S7" s="93"/>
      <c r="T7" s="144">
        <v>3</v>
      </c>
      <c r="U7" s="145" t="s">
        <v>71</v>
      </c>
      <c r="V7" s="146" t="s">
        <v>74</v>
      </c>
      <c r="W7" s="147">
        <f>'Raw Score Check'!N6</f>
        <v>0</v>
      </c>
      <c r="X7" s="154">
        <v>0</v>
      </c>
      <c r="Y7" s="154">
        <v>0</v>
      </c>
      <c r="AA7" s="73">
        <v>3</v>
      </c>
      <c r="AB7" s="92" t="s">
        <v>107</v>
      </c>
      <c r="AC7" s="92" t="s">
        <v>112</v>
      </c>
      <c r="AD7" s="93">
        <f>'Raw Score Check'!Q6</f>
        <v>0</v>
      </c>
      <c r="AE7" s="155">
        <v>0</v>
      </c>
      <c r="AF7" s="155">
        <v>0</v>
      </c>
    </row>
    <row r="8" spans="1:32" ht="32.25" customHeight="1">
      <c r="B8" s="73">
        <v>4</v>
      </c>
      <c r="C8" s="92" t="s">
        <v>40</v>
      </c>
      <c r="D8" s="92" t="s">
        <v>41</v>
      </c>
      <c r="E8" s="92">
        <f>'Raw Score Check'!H7</f>
        <v>0</v>
      </c>
      <c r="F8" s="134">
        <v>0</v>
      </c>
      <c r="G8" s="134">
        <v>0</v>
      </c>
      <c r="H8" s="134">
        <v>0</v>
      </c>
      <c r="I8" s="134">
        <v>0</v>
      </c>
      <c r="J8" s="93"/>
      <c r="K8" s="73">
        <v>4</v>
      </c>
      <c r="L8" s="92" t="s">
        <v>65</v>
      </c>
      <c r="M8" s="92" t="s">
        <v>68</v>
      </c>
      <c r="N8" s="92">
        <f>'Raw Score Check'!K7</f>
        <v>0</v>
      </c>
      <c r="O8" s="134">
        <v>0</v>
      </c>
      <c r="P8" s="134">
        <v>0</v>
      </c>
      <c r="Q8" s="134">
        <v>0</v>
      </c>
      <c r="R8" s="134">
        <v>0</v>
      </c>
      <c r="S8" s="93"/>
      <c r="T8" s="144">
        <v>4</v>
      </c>
      <c r="U8" s="148" t="s">
        <v>71</v>
      </c>
      <c r="V8" s="149" t="s">
        <v>74</v>
      </c>
      <c r="W8" s="150">
        <f>'Raw Score Check'!N7</f>
        <v>0</v>
      </c>
      <c r="X8" s="89">
        <v>0</v>
      </c>
      <c r="Y8" s="154">
        <v>0</v>
      </c>
      <c r="AA8" s="73">
        <v>4</v>
      </c>
      <c r="AB8" s="92" t="s">
        <v>71</v>
      </c>
      <c r="AC8" s="92" t="s">
        <v>72</v>
      </c>
      <c r="AD8" s="93">
        <f>'Raw Score Check'!Q7</f>
        <v>0</v>
      </c>
      <c r="AE8" s="155">
        <v>0</v>
      </c>
      <c r="AF8" s="155">
        <v>0</v>
      </c>
    </row>
    <row r="9" spans="1:32" ht="32.25" customHeight="1">
      <c r="B9" s="73">
        <v>5</v>
      </c>
      <c r="C9" s="92" t="s">
        <v>40</v>
      </c>
      <c r="D9" s="92" t="s">
        <v>42</v>
      </c>
      <c r="E9" s="92">
        <f>'Raw Score Check'!H8</f>
        <v>0</v>
      </c>
      <c r="F9" s="134">
        <v>0</v>
      </c>
      <c r="G9" s="134">
        <v>1</v>
      </c>
      <c r="H9" s="134">
        <v>0</v>
      </c>
      <c r="I9" s="134">
        <v>0</v>
      </c>
      <c r="J9" s="93"/>
      <c r="K9" s="73">
        <v>5</v>
      </c>
      <c r="L9" s="92" t="s">
        <v>61</v>
      </c>
      <c r="M9" s="92" t="s">
        <v>63</v>
      </c>
      <c r="N9" s="92">
        <f>'Raw Score Check'!K8</f>
        <v>0</v>
      </c>
      <c r="O9" s="134">
        <v>0</v>
      </c>
      <c r="P9" s="134">
        <v>0</v>
      </c>
      <c r="Q9" s="134">
        <v>1</v>
      </c>
      <c r="R9" s="134">
        <v>0</v>
      </c>
      <c r="S9" s="93"/>
      <c r="T9" s="144">
        <v>5</v>
      </c>
      <c r="U9" s="145" t="s">
        <v>81</v>
      </c>
      <c r="V9" s="146" t="s">
        <v>83</v>
      </c>
      <c r="W9" s="147">
        <f>'Raw Score Check'!N8</f>
        <v>0</v>
      </c>
      <c r="X9" s="154">
        <v>0</v>
      </c>
      <c r="Y9" s="154">
        <v>0</v>
      </c>
      <c r="AA9" s="73">
        <v>5</v>
      </c>
      <c r="AB9" s="92" t="s">
        <v>96</v>
      </c>
      <c r="AC9" s="92" t="s">
        <v>101</v>
      </c>
      <c r="AD9" s="93">
        <f>'Raw Score Check'!Q8</f>
        <v>0</v>
      </c>
      <c r="AE9" s="155">
        <v>0</v>
      </c>
      <c r="AF9" s="155">
        <v>0</v>
      </c>
    </row>
    <row r="10" spans="1:32" ht="32.25" customHeight="1">
      <c r="B10" s="73">
        <v>6</v>
      </c>
      <c r="C10" s="92" t="s">
        <v>40</v>
      </c>
      <c r="D10" s="92" t="s">
        <v>41</v>
      </c>
      <c r="E10" s="92">
        <f>'Raw Score Check'!H9</f>
        <v>0</v>
      </c>
      <c r="F10" s="134">
        <v>0</v>
      </c>
      <c r="G10" s="134">
        <v>0</v>
      </c>
      <c r="H10" s="134">
        <v>0</v>
      </c>
      <c r="I10" s="134">
        <v>0</v>
      </c>
      <c r="J10" s="93"/>
      <c r="K10" s="73">
        <v>6</v>
      </c>
      <c r="L10" s="92" t="s">
        <v>61</v>
      </c>
      <c r="M10" s="92" t="s">
        <v>62</v>
      </c>
      <c r="N10" s="92">
        <f>'Raw Score Check'!K9</f>
        <v>0</v>
      </c>
      <c r="O10" s="134">
        <v>0</v>
      </c>
      <c r="P10" s="134">
        <v>1</v>
      </c>
      <c r="Q10" s="134">
        <v>1</v>
      </c>
      <c r="R10" s="134">
        <v>0</v>
      </c>
      <c r="S10" s="93"/>
      <c r="T10" s="144">
        <v>6</v>
      </c>
      <c r="U10" s="148" t="s">
        <v>71</v>
      </c>
      <c r="V10" s="149" t="s">
        <v>77</v>
      </c>
      <c r="W10" s="150">
        <f>'Raw Score Check'!N9</f>
        <v>0</v>
      </c>
      <c r="X10" s="89">
        <v>0</v>
      </c>
      <c r="Y10" s="89">
        <v>1</v>
      </c>
      <c r="AA10" s="73">
        <v>6</v>
      </c>
      <c r="AB10" s="92" t="s">
        <v>96</v>
      </c>
      <c r="AC10" s="92" t="s">
        <v>99</v>
      </c>
      <c r="AD10" s="93">
        <f>'Raw Score Check'!Q9</f>
        <v>0</v>
      </c>
      <c r="AE10" s="155">
        <v>0</v>
      </c>
      <c r="AF10" s="155">
        <v>1</v>
      </c>
    </row>
    <row r="11" spans="1:32" ht="32.25" customHeight="1">
      <c r="B11" s="73">
        <v>7</v>
      </c>
      <c r="C11" s="92" t="s">
        <v>52</v>
      </c>
      <c r="D11" s="92" t="s">
        <v>56</v>
      </c>
      <c r="E11" s="92">
        <f>'Raw Score Check'!H10</f>
        <v>0</v>
      </c>
      <c r="F11" s="134">
        <v>0</v>
      </c>
      <c r="G11" s="134">
        <v>0</v>
      </c>
      <c r="H11" s="134">
        <v>0</v>
      </c>
      <c r="I11" s="134">
        <v>0</v>
      </c>
      <c r="J11" s="93"/>
      <c r="K11" s="73">
        <v>7</v>
      </c>
      <c r="L11" s="92" t="s">
        <v>65</v>
      </c>
      <c r="M11" s="92" t="s">
        <v>67</v>
      </c>
      <c r="N11" s="92">
        <f>'Raw Score Check'!K10</f>
        <v>0</v>
      </c>
      <c r="O11" s="134">
        <v>0</v>
      </c>
      <c r="P11" s="134">
        <v>0</v>
      </c>
      <c r="Q11" s="134">
        <v>0</v>
      </c>
      <c r="R11" s="134">
        <v>0</v>
      </c>
      <c r="S11" s="93"/>
      <c r="T11" s="144">
        <v>7</v>
      </c>
      <c r="U11" s="145" t="s">
        <v>81</v>
      </c>
      <c r="V11" s="146" t="s">
        <v>83</v>
      </c>
      <c r="W11" s="147">
        <f>'Raw Score Check'!N10</f>
        <v>0</v>
      </c>
      <c r="X11" s="154">
        <v>1</v>
      </c>
      <c r="Y11" s="154">
        <v>0</v>
      </c>
      <c r="AA11" s="73">
        <v>7</v>
      </c>
      <c r="AB11" s="92" t="s">
        <v>96</v>
      </c>
      <c r="AC11" s="92" t="s">
        <v>102</v>
      </c>
      <c r="AD11" s="93">
        <f>'Raw Score Check'!Q10</f>
        <v>0</v>
      </c>
      <c r="AE11" s="155">
        <v>1</v>
      </c>
      <c r="AF11" s="155">
        <v>0</v>
      </c>
    </row>
    <row r="12" spans="1:32" ht="32.25" customHeight="1">
      <c r="B12" s="73">
        <v>8</v>
      </c>
      <c r="C12" s="92" t="s">
        <v>40</v>
      </c>
      <c r="D12" s="92" t="s">
        <v>46</v>
      </c>
      <c r="E12" s="92">
        <f>'Raw Score Check'!H11</f>
        <v>0</v>
      </c>
      <c r="F12" s="134">
        <v>1</v>
      </c>
      <c r="G12" s="134">
        <v>0</v>
      </c>
      <c r="H12" s="134">
        <v>0</v>
      </c>
      <c r="I12" s="134">
        <v>0</v>
      </c>
      <c r="J12" s="93"/>
      <c r="K12" s="73">
        <v>8</v>
      </c>
      <c r="L12" s="92" t="s">
        <v>65</v>
      </c>
      <c r="M12" s="92" t="s">
        <v>66</v>
      </c>
      <c r="N12" s="92">
        <f>'Raw Score Check'!K11</f>
        <v>0</v>
      </c>
      <c r="O12" s="134">
        <v>0</v>
      </c>
      <c r="P12" s="134">
        <v>0</v>
      </c>
      <c r="Q12" s="134">
        <v>0</v>
      </c>
      <c r="R12" s="134">
        <v>0</v>
      </c>
      <c r="S12" s="93"/>
      <c r="T12" s="144">
        <v>8</v>
      </c>
      <c r="U12" s="148" t="s">
        <v>81</v>
      </c>
      <c r="V12" s="149" t="s">
        <v>93</v>
      </c>
      <c r="W12" s="150">
        <f>'Raw Score Check'!N11</f>
        <v>0</v>
      </c>
      <c r="X12" s="89">
        <v>0</v>
      </c>
      <c r="Y12" s="154">
        <v>0</v>
      </c>
      <c r="AA12" s="73">
        <v>8</v>
      </c>
      <c r="AB12" s="92" t="s">
        <v>71</v>
      </c>
      <c r="AC12" s="92" t="s">
        <v>73</v>
      </c>
      <c r="AD12" s="93">
        <f>'Raw Score Check'!Q11</f>
        <v>0</v>
      </c>
      <c r="AE12" s="155">
        <v>0</v>
      </c>
      <c r="AF12" s="155">
        <v>0</v>
      </c>
    </row>
    <row r="13" spans="1:32" ht="32.25" customHeight="1">
      <c r="B13" s="73">
        <v>9</v>
      </c>
      <c r="C13" s="92" t="s">
        <v>40</v>
      </c>
      <c r="D13" s="92" t="s">
        <v>45</v>
      </c>
      <c r="E13" s="92">
        <f>'Raw Score Check'!H12</f>
        <v>0</v>
      </c>
      <c r="F13" s="134">
        <v>0</v>
      </c>
      <c r="G13" s="134">
        <v>0</v>
      </c>
      <c r="H13" s="134">
        <v>0</v>
      </c>
      <c r="I13" s="134">
        <v>0</v>
      </c>
      <c r="J13" s="93"/>
      <c r="K13" s="73">
        <v>9</v>
      </c>
      <c r="L13" s="92" t="s">
        <v>61</v>
      </c>
      <c r="M13" s="92" t="s">
        <v>63</v>
      </c>
      <c r="N13" s="92">
        <f>'Raw Score Check'!K12</f>
        <v>0</v>
      </c>
      <c r="O13" s="134">
        <v>0</v>
      </c>
      <c r="P13" s="134">
        <v>0</v>
      </c>
      <c r="Q13" s="134">
        <v>1</v>
      </c>
      <c r="R13" s="134">
        <v>0</v>
      </c>
      <c r="S13" s="93"/>
      <c r="T13" s="144">
        <v>9</v>
      </c>
      <c r="U13" s="145" t="s">
        <v>71</v>
      </c>
      <c r="V13" s="146" t="s">
        <v>79</v>
      </c>
      <c r="W13" s="147">
        <f>'Raw Score Check'!N12</f>
        <v>0</v>
      </c>
      <c r="X13" s="154">
        <v>0</v>
      </c>
      <c r="Y13" s="154">
        <v>0</v>
      </c>
      <c r="AA13" s="73">
        <v>9</v>
      </c>
      <c r="AB13" s="92" t="s">
        <v>81</v>
      </c>
      <c r="AC13" s="92" t="s">
        <v>93</v>
      </c>
      <c r="AD13" s="93">
        <f>'Raw Score Check'!Q12</f>
        <v>0</v>
      </c>
      <c r="AE13" s="155">
        <v>0</v>
      </c>
      <c r="AF13" s="155">
        <v>1</v>
      </c>
    </row>
    <row r="14" spans="1:32" ht="32.25" customHeight="1">
      <c r="B14" s="73">
        <v>10</v>
      </c>
      <c r="C14" s="92" t="s">
        <v>40</v>
      </c>
      <c r="D14" s="92" t="s">
        <v>42</v>
      </c>
      <c r="E14" s="92">
        <f>'Raw Score Check'!H13</f>
        <v>0</v>
      </c>
      <c r="F14" s="134">
        <v>0</v>
      </c>
      <c r="G14" s="134">
        <v>1</v>
      </c>
      <c r="H14" s="134">
        <v>0</v>
      </c>
      <c r="I14" s="134">
        <v>0</v>
      </c>
      <c r="J14" s="93"/>
      <c r="K14" s="73">
        <v>10</v>
      </c>
      <c r="L14" s="92" t="s">
        <v>61</v>
      </c>
      <c r="M14" s="92" t="s">
        <v>64</v>
      </c>
      <c r="N14" s="92">
        <f>'Raw Score Check'!K13</f>
        <v>0</v>
      </c>
      <c r="O14" s="134">
        <v>1</v>
      </c>
      <c r="P14" s="134">
        <v>0</v>
      </c>
      <c r="Q14" s="134">
        <v>1</v>
      </c>
      <c r="R14" s="134">
        <v>0</v>
      </c>
      <c r="S14" s="93"/>
      <c r="T14" s="144">
        <v>10</v>
      </c>
      <c r="U14" s="148" t="s">
        <v>81</v>
      </c>
      <c r="V14" s="149" t="s">
        <v>82</v>
      </c>
      <c r="W14" s="150">
        <f>'Raw Score Check'!N13</f>
        <v>0</v>
      </c>
      <c r="X14" s="89">
        <v>0</v>
      </c>
      <c r="Y14" s="154">
        <v>0</v>
      </c>
      <c r="AA14" s="73">
        <v>10</v>
      </c>
      <c r="AB14" s="92" t="s">
        <v>71</v>
      </c>
      <c r="AC14" s="92" t="s">
        <v>72</v>
      </c>
      <c r="AD14" s="93">
        <f>'Raw Score Check'!Q13</f>
        <v>0</v>
      </c>
      <c r="AE14" s="155">
        <v>0</v>
      </c>
      <c r="AF14" s="155">
        <v>0</v>
      </c>
    </row>
    <row r="15" spans="1:32" ht="32.25" customHeight="1">
      <c r="B15" s="73">
        <v>11</v>
      </c>
      <c r="C15" s="92" t="s">
        <v>52</v>
      </c>
      <c r="D15" s="92" t="s">
        <v>56</v>
      </c>
      <c r="E15" s="92">
        <f>'Raw Score Check'!H14</f>
        <v>0</v>
      </c>
      <c r="F15" s="134">
        <v>0</v>
      </c>
      <c r="G15" s="134">
        <v>0</v>
      </c>
      <c r="H15" s="134">
        <v>1</v>
      </c>
      <c r="I15" s="134">
        <v>0</v>
      </c>
      <c r="J15" s="93"/>
      <c r="K15" s="73">
        <v>11</v>
      </c>
      <c r="L15" s="92" t="s">
        <v>65</v>
      </c>
      <c r="M15" s="92" t="s">
        <v>68</v>
      </c>
      <c r="N15" s="92">
        <f>'Raw Score Check'!K14</f>
        <v>0</v>
      </c>
      <c r="O15" s="134">
        <v>0</v>
      </c>
      <c r="P15" s="134">
        <v>0</v>
      </c>
      <c r="Q15" s="134">
        <v>0</v>
      </c>
      <c r="R15" s="134">
        <v>0</v>
      </c>
      <c r="S15" s="93"/>
      <c r="T15" s="144">
        <v>11</v>
      </c>
      <c r="U15" s="145" t="s">
        <v>71</v>
      </c>
      <c r="V15" s="146" t="s">
        <v>80</v>
      </c>
      <c r="W15" s="147">
        <f>'Raw Score Check'!N14</f>
        <v>0</v>
      </c>
      <c r="X15" s="154">
        <v>1</v>
      </c>
      <c r="Y15" s="154">
        <v>0</v>
      </c>
      <c r="AA15" s="73">
        <v>11</v>
      </c>
      <c r="AB15" s="92" t="s">
        <v>71</v>
      </c>
      <c r="AC15" s="92" t="s">
        <v>75</v>
      </c>
      <c r="AD15" s="93">
        <f>'Raw Score Check'!Q14</f>
        <v>0</v>
      </c>
      <c r="AE15" s="155">
        <v>0</v>
      </c>
      <c r="AF15" s="155">
        <v>0</v>
      </c>
    </row>
    <row r="16" spans="1:32" ht="32.25" customHeight="1">
      <c r="B16" s="73">
        <v>12</v>
      </c>
      <c r="C16" s="92" t="s">
        <v>40</v>
      </c>
      <c r="D16" s="92" t="s">
        <v>46</v>
      </c>
      <c r="E16" s="92">
        <f>'Raw Score Check'!H15</f>
        <v>0</v>
      </c>
      <c r="F16" s="134">
        <v>1</v>
      </c>
      <c r="G16" s="134">
        <v>0</v>
      </c>
      <c r="H16" s="134">
        <v>1</v>
      </c>
      <c r="I16" s="134">
        <v>0</v>
      </c>
      <c r="J16" s="93"/>
      <c r="K16" s="73">
        <v>12</v>
      </c>
      <c r="L16" s="92" t="s">
        <v>61</v>
      </c>
      <c r="M16" s="92" t="s">
        <v>62</v>
      </c>
      <c r="N16" s="92">
        <f>'Raw Score Check'!K15</f>
        <v>0</v>
      </c>
      <c r="O16" s="134">
        <v>0</v>
      </c>
      <c r="P16" s="134">
        <v>1</v>
      </c>
      <c r="Q16" s="134">
        <v>0</v>
      </c>
      <c r="R16" s="134">
        <v>1</v>
      </c>
      <c r="S16" s="93"/>
      <c r="T16" s="144">
        <v>12</v>
      </c>
      <c r="U16" s="148" t="s">
        <v>71</v>
      </c>
      <c r="V16" s="149" t="s">
        <v>74</v>
      </c>
      <c r="W16" s="150">
        <f>'Raw Score Check'!N15</f>
        <v>0</v>
      </c>
      <c r="X16" s="89">
        <v>0</v>
      </c>
      <c r="Y16" s="154">
        <v>0</v>
      </c>
      <c r="AA16" s="73">
        <v>12</v>
      </c>
      <c r="AB16" s="92" t="s">
        <v>96</v>
      </c>
      <c r="AC16" s="92" t="s">
        <v>106</v>
      </c>
      <c r="AD16" s="93">
        <f>'Raw Score Check'!Q15</f>
        <v>0</v>
      </c>
      <c r="AE16" s="155">
        <v>0</v>
      </c>
      <c r="AF16" s="155">
        <v>0</v>
      </c>
    </row>
    <row r="17" spans="2:32" ht="32.25" customHeight="1">
      <c r="B17" s="73">
        <v>13</v>
      </c>
      <c r="C17" s="92" t="s">
        <v>40</v>
      </c>
      <c r="D17" s="92" t="s">
        <v>41</v>
      </c>
      <c r="E17" s="92">
        <f>'Raw Score Check'!H16</f>
        <v>0</v>
      </c>
      <c r="F17" s="134">
        <v>0</v>
      </c>
      <c r="G17" s="134">
        <v>0</v>
      </c>
      <c r="H17" s="134">
        <v>1</v>
      </c>
      <c r="I17" s="134">
        <v>0</v>
      </c>
      <c r="J17" s="93"/>
      <c r="K17" s="73">
        <v>13</v>
      </c>
      <c r="L17" s="92" t="s">
        <v>61</v>
      </c>
      <c r="M17" s="92" t="s">
        <v>64</v>
      </c>
      <c r="N17" s="92">
        <f>'Raw Score Check'!K16</f>
        <v>0</v>
      </c>
      <c r="O17" s="134">
        <v>1</v>
      </c>
      <c r="P17" s="134">
        <v>0</v>
      </c>
      <c r="Q17" s="134">
        <v>0</v>
      </c>
      <c r="R17" s="134">
        <v>1</v>
      </c>
      <c r="S17" s="93"/>
      <c r="T17" s="144">
        <v>13</v>
      </c>
      <c r="U17" s="145" t="s">
        <v>81</v>
      </c>
      <c r="V17" s="146" t="s">
        <v>85</v>
      </c>
      <c r="W17" s="147">
        <f>'Raw Score Check'!N16</f>
        <v>0</v>
      </c>
      <c r="X17" s="154">
        <v>0</v>
      </c>
      <c r="Y17" s="154">
        <v>0</v>
      </c>
      <c r="AA17" s="73">
        <v>13</v>
      </c>
      <c r="AB17" s="92" t="s">
        <v>96</v>
      </c>
      <c r="AC17" s="92" t="s">
        <v>100</v>
      </c>
      <c r="AD17" s="93">
        <f>'Raw Score Check'!Q16</f>
        <v>0</v>
      </c>
      <c r="AE17" s="155">
        <v>0</v>
      </c>
      <c r="AF17" s="155">
        <v>0</v>
      </c>
    </row>
    <row r="18" spans="2:32" ht="32.25" customHeight="1">
      <c r="B18" s="73">
        <v>14</v>
      </c>
      <c r="C18" s="92" t="s">
        <v>40</v>
      </c>
      <c r="D18" s="92" t="s">
        <v>42</v>
      </c>
      <c r="E18" s="92">
        <f>'Raw Score Check'!H17</f>
        <v>0</v>
      </c>
      <c r="F18" s="134">
        <v>0</v>
      </c>
      <c r="G18" s="134">
        <v>1</v>
      </c>
      <c r="H18" s="134">
        <v>1</v>
      </c>
      <c r="I18" s="134">
        <v>0</v>
      </c>
      <c r="J18" s="93"/>
      <c r="K18" s="73">
        <v>14</v>
      </c>
      <c r="L18" s="92" t="s">
        <v>61</v>
      </c>
      <c r="M18" s="92" t="s">
        <v>63</v>
      </c>
      <c r="N18" s="92">
        <f>'Raw Score Check'!K17</f>
        <v>0</v>
      </c>
      <c r="O18" s="134">
        <v>0</v>
      </c>
      <c r="P18" s="134">
        <v>0</v>
      </c>
      <c r="Q18" s="134">
        <v>0</v>
      </c>
      <c r="R18" s="134">
        <v>1</v>
      </c>
      <c r="S18" s="93"/>
      <c r="T18" s="144">
        <v>14</v>
      </c>
      <c r="U18" s="148" t="s">
        <v>81</v>
      </c>
      <c r="V18" s="149" t="s">
        <v>85</v>
      </c>
      <c r="W18" s="150">
        <f>'Raw Score Check'!N17</f>
        <v>0</v>
      </c>
      <c r="X18" s="89">
        <v>0</v>
      </c>
      <c r="Y18" s="154">
        <v>0</v>
      </c>
      <c r="AA18" s="73">
        <v>14</v>
      </c>
      <c r="AB18" s="92" t="s">
        <v>96</v>
      </c>
      <c r="AC18" s="92" t="s">
        <v>100</v>
      </c>
      <c r="AD18" s="93">
        <f>'Raw Score Check'!Q17</f>
        <v>0</v>
      </c>
      <c r="AE18" s="155">
        <v>0</v>
      </c>
      <c r="AF18" s="155">
        <v>1</v>
      </c>
    </row>
    <row r="19" spans="2:32" ht="32.25" customHeight="1">
      <c r="B19" s="73">
        <v>15</v>
      </c>
      <c r="C19" s="92" t="s">
        <v>52</v>
      </c>
      <c r="D19" s="92" t="s">
        <v>55</v>
      </c>
      <c r="E19" s="92">
        <f>'Raw Score Check'!H18</f>
        <v>0</v>
      </c>
      <c r="F19" s="134">
        <v>0</v>
      </c>
      <c r="G19" s="134">
        <v>0</v>
      </c>
      <c r="H19" s="134">
        <v>1</v>
      </c>
      <c r="I19" s="134">
        <v>0</v>
      </c>
      <c r="J19" s="93"/>
      <c r="K19" s="73">
        <v>15</v>
      </c>
      <c r="L19" s="92" t="s">
        <v>65</v>
      </c>
      <c r="M19" s="92" t="s">
        <v>68</v>
      </c>
      <c r="N19" s="92">
        <f>'Raw Score Check'!K18</f>
        <v>0</v>
      </c>
      <c r="O19" s="134">
        <v>0</v>
      </c>
      <c r="P19" s="134">
        <v>0</v>
      </c>
      <c r="Q19" s="134">
        <v>0</v>
      </c>
      <c r="R19" s="134">
        <v>0</v>
      </c>
      <c r="S19" s="93"/>
      <c r="T19" s="144">
        <v>15</v>
      </c>
      <c r="U19" s="145" t="s">
        <v>81</v>
      </c>
      <c r="V19" s="146" t="s">
        <v>82</v>
      </c>
      <c r="W19" s="147">
        <f>'Raw Score Check'!N18</f>
        <v>0</v>
      </c>
      <c r="X19" s="154">
        <v>0</v>
      </c>
      <c r="Y19" s="154">
        <v>0</v>
      </c>
      <c r="AA19" s="73">
        <v>15</v>
      </c>
      <c r="AB19" s="92" t="s">
        <v>71</v>
      </c>
      <c r="AC19" s="92" t="s">
        <v>73</v>
      </c>
      <c r="AD19" s="93">
        <f>'Raw Score Check'!Q18</f>
        <v>0</v>
      </c>
      <c r="AE19" s="155">
        <v>0</v>
      </c>
      <c r="AF19" s="155">
        <v>0</v>
      </c>
    </row>
    <row r="20" spans="2:32" ht="32.25" customHeight="1">
      <c r="B20" s="73">
        <v>16</v>
      </c>
      <c r="C20" s="92" t="s">
        <v>40</v>
      </c>
      <c r="D20" s="92" t="s">
        <v>41</v>
      </c>
      <c r="E20" s="92">
        <f>'Raw Score Check'!H19</f>
        <v>0</v>
      </c>
      <c r="F20" s="134">
        <v>0</v>
      </c>
      <c r="G20" s="134">
        <v>0</v>
      </c>
      <c r="H20" s="134">
        <v>1</v>
      </c>
      <c r="I20" s="134">
        <v>0</v>
      </c>
      <c r="J20" s="93"/>
      <c r="K20" s="73">
        <v>16</v>
      </c>
      <c r="L20" s="92" t="s">
        <v>65</v>
      </c>
      <c r="M20" s="92" t="s">
        <v>68</v>
      </c>
      <c r="N20" s="92">
        <f>'Raw Score Check'!K19</f>
        <v>0</v>
      </c>
      <c r="O20" s="134">
        <v>0</v>
      </c>
      <c r="P20" s="134">
        <v>0</v>
      </c>
      <c r="Q20" s="134">
        <v>0</v>
      </c>
      <c r="R20" s="134">
        <v>0</v>
      </c>
      <c r="S20" s="93"/>
      <c r="T20" s="144">
        <v>16</v>
      </c>
      <c r="U20" s="148" t="s">
        <v>81</v>
      </c>
      <c r="V20" s="149" t="s">
        <v>82</v>
      </c>
      <c r="W20" s="150">
        <f>'Raw Score Check'!N19</f>
        <v>0</v>
      </c>
      <c r="X20" s="89">
        <v>0</v>
      </c>
      <c r="Y20" s="154">
        <v>0</v>
      </c>
      <c r="AA20" s="73">
        <v>16</v>
      </c>
      <c r="AB20" s="92" t="s">
        <v>71</v>
      </c>
      <c r="AC20" s="92" t="s">
        <v>73</v>
      </c>
      <c r="AD20" s="93">
        <f>'Raw Score Check'!Q19</f>
        <v>0</v>
      </c>
      <c r="AE20" s="155">
        <v>0</v>
      </c>
      <c r="AF20" s="155">
        <v>0</v>
      </c>
    </row>
    <row r="21" spans="2:32" ht="43.5" customHeight="1">
      <c r="B21" s="73">
        <v>17</v>
      </c>
      <c r="C21" s="92" t="s">
        <v>40</v>
      </c>
      <c r="D21" s="92" t="s">
        <v>42</v>
      </c>
      <c r="E21" s="92">
        <f>'Raw Score Check'!H20</f>
        <v>0</v>
      </c>
      <c r="F21" s="134">
        <v>0</v>
      </c>
      <c r="G21" s="134">
        <v>1</v>
      </c>
      <c r="H21" s="134">
        <v>1</v>
      </c>
      <c r="I21" s="134">
        <v>0</v>
      </c>
      <c r="J21" s="93"/>
      <c r="K21" s="73">
        <v>17</v>
      </c>
      <c r="L21" s="92" t="s">
        <v>65</v>
      </c>
      <c r="M21" s="92" t="s">
        <v>67</v>
      </c>
      <c r="N21" s="92">
        <f>'Raw Score Check'!K20</f>
        <v>0</v>
      </c>
      <c r="O21" s="134">
        <v>0</v>
      </c>
      <c r="P21" s="134">
        <v>0</v>
      </c>
      <c r="Q21" s="134">
        <v>0</v>
      </c>
      <c r="R21" s="134">
        <v>0</v>
      </c>
      <c r="S21" s="93"/>
      <c r="T21" s="144">
        <v>17</v>
      </c>
      <c r="U21" s="145" t="s">
        <v>107</v>
      </c>
      <c r="V21" s="146" t="s">
        <v>110</v>
      </c>
      <c r="W21" s="147">
        <f>'Raw Score Check'!N20</f>
        <v>0</v>
      </c>
      <c r="X21" s="154">
        <v>0</v>
      </c>
      <c r="Y21" s="154">
        <v>0</v>
      </c>
      <c r="AA21" s="73">
        <v>17</v>
      </c>
      <c r="AB21" s="92" t="s">
        <v>96</v>
      </c>
      <c r="AC21" s="92" t="s">
        <v>102</v>
      </c>
      <c r="AD21" s="93">
        <f>'Raw Score Check'!Q20</f>
        <v>0</v>
      </c>
      <c r="AE21" s="155">
        <v>0</v>
      </c>
      <c r="AF21" s="155">
        <v>0</v>
      </c>
    </row>
    <row r="22" spans="2:32" ht="32.25" customHeight="1">
      <c r="B22" s="73">
        <v>18</v>
      </c>
      <c r="C22" s="92" t="s">
        <v>40</v>
      </c>
      <c r="D22" s="92" t="s">
        <v>46</v>
      </c>
      <c r="E22" s="92">
        <f>'Raw Score Check'!H21</f>
        <v>0</v>
      </c>
      <c r="F22" s="134">
        <v>1</v>
      </c>
      <c r="G22" s="134">
        <v>0</v>
      </c>
      <c r="H22" s="134">
        <v>1</v>
      </c>
      <c r="I22" s="134">
        <v>0</v>
      </c>
      <c r="J22" s="93"/>
      <c r="K22" s="73">
        <v>18</v>
      </c>
      <c r="L22" s="92" t="s">
        <v>65</v>
      </c>
      <c r="M22" s="92" t="s">
        <v>66</v>
      </c>
      <c r="N22" s="92">
        <f>'Raw Score Check'!K21</f>
        <v>0</v>
      </c>
      <c r="O22" s="134">
        <v>0</v>
      </c>
      <c r="P22" s="134">
        <v>0</v>
      </c>
      <c r="Q22" s="134">
        <v>0</v>
      </c>
      <c r="R22" s="134">
        <v>0</v>
      </c>
      <c r="S22" s="93"/>
      <c r="T22" s="144">
        <v>18</v>
      </c>
      <c r="U22" s="148" t="s">
        <v>71</v>
      </c>
      <c r="V22" s="149" t="s">
        <v>79</v>
      </c>
      <c r="W22" s="150">
        <f>'Raw Score Check'!N21</f>
        <v>0</v>
      </c>
      <c r="X22" s="89">
        <v>0</v>
      </c>
      <c r="Y22" s="154">
        <v>0</v>
      </c>
      <c r="AA22" s="73">
        <v>18</v>
      </c>
      <c r="AB22" s="92" t="s">
        <v>71</v>
      </c>
      <c r="AC22" s="92" t="s">
        <v>78</v>
      </c>
      <c r="AD22" s="93">
        <f>'Raw Score Check'!Q21</f>
        <v>0</v>
      </c>
      <c r="AE22" s="155">
        <v>0</v>
      </c>
      <c r="AF22" s="155">
        <v>0</v>
      </c>
    </row>
    <row r="23" spans="2:32" ht="32.25" customHeight="1">
      <c r="B23" s="73">
        <v>19</v>
      </c>
      <c r="C23" s="92" t="s">
        <v>52</v>
      </c>
      <c r="D23" s="92" t="s">
        <v>56</v>
      </c>
      <c r="E23" s="92">
        <f>'Raw Score Check'!H22</f>
        <v>0</v>
      </c>
      <c r="F23" s="134">
        <v>0</v>
      </c>
      <c r="G23" s="134">
        <v>1</v>
      </c>
      <c r="H23" s="134">
        <v>1</v>
      </c>
      <c r="I23" s="134">
        <v>0</v>
      </c>
      <c r="J23" s="93"/>
      <c r="K23" s="73">
        <v>19</v>
      </c>
      <c r="L23" s="92" t="s">
        <v>65</v>
      </c>
      <c r="M23" s="92" t="s">
        <v>67</v>
      </c>
      <c r="N23" s="92">
        <f>'Raw Score Check'!K22</f>
        <v>0</v>
      </c>
      <c r="O23" s="134">
        <v>0</v>
      </c>
      <c r="P23" s="134">
        <v>0</v>
      </c>
      <c r="Q23" s="134">
        <v>0</v>
      </c>
      <c r="R23" s="134">
        <v>0</v>
      </c>
      <c r="S23" s="93"/>
      <c r="T23" s="144">
        <v>19</v>
      </c>
      <c r="U23" s="145" t="s">
        <v>107</v>
      </c>
      <c r="V23" s="146" t="s">
        <v>111</v>
      </c>
      <c r="W23" s="147">
        <f>'Raw Score Check'!N22</f>
        <v>0</v>
      </c>
      <c r="X23" s="154">
        <v>0</v>
      </c>
      <c r="Y23" s="154">
        <v>0</v>
      </c>
      <c r="AA23" s="73">
        <v>19</v>
      </c>
      <c r="AB23" s="92" t="s">
        <v>71</v>
      </c>
      <c r="AC23" s="92" t="s">
        <v>80</v>
      </c>
      <c r="AD23" s="93">
        <f>'Raw Score Check'!Q22</f>
        <v>0</v>
      </c>
      <c r="AE23" s="155">
        <v>0</v>
      </c>
      <c r="AF23" s="155">
        <v>0</v>
      </c>
    </row>
    <row r="24" spans="2:32" ht="32.25" customHeight="1" thickBot="1">
      <c r="B24" s="73">
        <v>20</v>
      </c>
      <c r="C24" s="92" t="s">
        <v>58</v>
      </c>
      <c r="D24" s="92" t="s">
        <v>60</v>
      </c>
      <c r="E24" s="92">
        <f>'Raw Score Check'!H23</f>
        <v>0</v>
      </c>
      <c r="F24" s="134">
        <v>0</v>
      </c>
      <c r="G24" s="134">
        <v>0</v>
      </c>
      <c r="H24" s="134">
        <v>1</v>
      </c>
      <c r="I24" s="134">
        <v>0</v>
      </c>
      <c r="J24" s="93"/>
      <c r="K24" s="73">
        <v>20</v>
      </c>
      <c r="L24" s="92" t="s">
        <v>61</v>
      </c>
      <c r="M24" s="92" t="s">
        <v>62</v>
      </c>
      <c r="N24" s="92">
        <f>'Raw Score Check'!K23</f>
        <v>0</v>
      </c>
      <c r="O24" s="134">
        <v>0</v>
      </c>
      <c r="P24" s="134">
        <v>1</v>
      </c>
      <c r="Q24" s="134">
        <v>0</v>
      </c>
      <c r="R24" s="134">
        <v>1</v>
      </c>
      <c r="S24" s="93"/>
      <c r="T24" s="151">
        <v>20</v>
      </c>
      <c r="U24" s="152" t="s">
        <v>81</v>
      </c>
      <c r="V24" s="130" t="s">
        <v>87</v>
      </c>
      <c r="W24" s="131">
        <f>'Raw Score Check'!N23</f>
        <v>0</v>
      </c>
      <c r="X24" s="89">
        <v>0</v>
      </c>
      <c r="Y24" s="154">
        <v>0</v>
      </c>
      <c r="AA24" s="73">
        <v>20</v>
      </c>
      <c r="AB24" s="92" t="s">
        <v>96</v>
      </c>
      <c r="AC24" s="92" t="s">
        <v>98</v>
      </c>
      <c r="AD24" s="93">
        <f>'Raw Score Check'!Q23</f>
        <v>0</v>
      </c>
      <c r="AE24" s="155">
        <v>0</v>
      </c>
      <c r="AF24" s="155">
        <v>0</v>
      </c>
    </row>
    <row r="25" spans="2:32" ht="32.25" customHeight="1">
      <c r="B25" s="73">
        <v>21</v>
      </c>
      <c r="C25" s="92" t="s">
        <v>58</v>
      </c>
      <c r="D25" s="92" t="s">
        <v>60</v>
      </c>
      <c r="E25" s="92">
        <f>'Raw Score Check'!H24</f>
        <v>0</v>
      </c>
      <c r="F25" s="134">
        <v>0</v>
      </c>
      <c r="G25" s="134">
        <v>0</v>
      </c>
      <c r="H25" s="134">
        <v>1</v>
      </c>
      <c r="I25" s="134">
        <v>0</v>
      </c>
      <c r="J25" s="93"/>
      <c r="K25" s="73">
        <v>21</v>
      </c>
      <c r="L25" s="92" t="s">
        <v>61</v>
      </c>
      <c r="M25" s="92" t="s">
        <v>64</v>
      </c>
      <c r="N25" s="92">
        <f>'Raw Score Check'!K24</f>
        <v>0</v>
      </c>
      <c r="O25" s="134">
        <v>1</v>
      </c>
      <c r="P25" s="134">
        <v>0</v>
      </c>
      <c r="Q25" s="134">
        <v>0</v>
      </c>
      <c r="R25" s="134">
        <v>1</v>
      </c>
      <c r="S25" s="93"/>
      <c r="U25" s="92"/>
      <c r="V25" s="92"/>
      <c r="W25" s="92"/>
      <c r="X25" s="92"/>
      <c r="Y25" s="92"/>
      <c r="AA25" s="73">
        <v>21</v>
      </c>
      <c r="AB25" s="92" t="s">
        <v>96</v>
      </c>
      <c r="AC25" s="92" t="s">
        <v>100</v>
      </c>
      <c r="AD25" s="93">
        <f>'Raw Score Check'!Q24</f>
        <v>0</v>
      </c>
      <c r="AE25" s="155">
        <v>0</v>
      </c>
      <c r="AF25" s="155">
        <v>1</v>
      </c>
    </row>
    <row r="26" spans="2:32" ht="32.25" customHeight="1">
      <c r="B26" s="73">
        <v>22</v>
      </c>
      <c r="C26" s="92" t="s">
        <v>52</v>
      </c>
      <c r="D26" s="92" t="s">
        <v>53</v>
      </c>
      <c r="E26" s="92">
        <f>'Raw Score Check'!H25</f>
        <v>0</v>
      </c>
      <c r="F26" s="134">
        <v>1</v>
      </c>
      <c r="G26" s="134">
        <v>0</v>
      </c>
      <c r="H26" s="134">
        <v>0</v>
      </c>
      <c r="I26" s="134">
        <v>1</v>
      </c>
      <c r="J26" s="93"/>
      <c r="K26" s="73">
        <v>22</v>
      </c>
      <c r="L26" s="92" t="s">
        <v>61</v>
      </c>
      <c r="M26" s="92" t="s">
        <v>63</v>
      </c>
      <c r="N26" s="92">
        <f>'Raw Score Check'!K25</f>
        <v>0</v>
      </c>
      <c r="O26" s="134">
        <v>0</v>
      </c>
      <c r="P26" s="134">
        <v>0</v>
      </c>
      <c r="Q26" s="134">
        <v>0</v>
      </c>
      <c r="R26" s="134">
        <v>1</v>
      </c>
      <c r="S26" s="93"/>
      <c r="U26" s="92">
        <f>COUNTIF(Table45[Category], "Passport to Advanced Mathematics")</f>
        <v>9</v>
      </c>
      <c r="V26" s="92"/>
      <c r="W26" s="92"/>
      <c r="X26" s="92"/>
      <c r="Y26" s="92"/>
      <c r="AA26" s="73">
        <v>22</v>
      </c>
      <c r="AB26" s="92" t="s">
        <v>96</v>
      </c>
      <c r="AC26" s="92" t="s">
        <v>100</v>
      </c>
      <c r="AD26" s="93">
        <f>'Raw Score Check'!Q25</f>
        <v>0</v>
      </c>
      <c r="AE26" s="155">
        <v>1</v>
      </c>
      <c r="AF26" s="155">
        <v>0</v>
      </c>
    </row>
    <row r="27" spans="2:32" ht="32.25" customHeight="1">
      <c r="B27" s="73">
        <v>23</v>
      </c>
      <c r="C27" s="92" t="s">
        <v>52</v>
      </c>
      <c r="D27" s="92" t="s">
        <v>57</v>
      </c>
      <c r="E27" s="92">
        <f>'Raw Score Check'!H26</f>
        <v>0</v>
      </c>
      <c r="F27" s="134">
        <v>0</v>
      </c>
      <c r="G27" s="134">
        <v>1</v>
      </c>
      <c r="H27" s="134">
        <v>0</v>
      </c>
      <c r="I27" s="134">
        <v>1</v>
      </c>
      <c r="J27" s="93"/>
      <c r="K27" s="73">
        <v>23</v>
      </c>
      <c r="L27" s="92" t="s">
        <v>61</v>
      </c>
      <c r="M27" s="92" t="s">
        <v>64</v>
      </c>
      <c r="N27" s="92">
        <f>'Raw Score Check'!K26</f>
        <v>0</v>
      </c>
      <c r="O27" s="134">
        <v>1</v>
      </c>
      <c r="P27" s="134">
        <v>0</v>
      </c>
      <c r="Q27" s="134">
        <v>0</v>
      </c>
      <c r="R27" s="134">
        <v>0</v>
      </c>
      <c r="S27" s="93"/>
      <c r="U27" s="92"/>
      <c r="V27" s="92"/>
      <c r="W27" s="92"/>
      <c r="X27" s="92"/>
      <c r="Y27" s="92"/>
      <c r="AA27" s="73">
        <v>23</v>
      </c>
      <c r="AB27" s="92" t="s">
        <v>96</v>
      </c>
      <c r="AC27" s="92" t="s">
        <v>104</v>
      </c>
      <c r="AD27" s="93">
        <f>'Raw Score Check'!Q26</f>
        <v>0</v>
      </c>
      <c r="AE27" s="155">
        <v>1</v>
      </c>
      <c r="AF27" s="155">
        <v>0</v>
      </c>
    </row>
    <row r="28" spans="2:32" ht="32.25" customHeight="1">
      <c r="B28" s="73">
        <v>24</v>
      </c>
      <c r="C28" s="92" t="s">
        <v>52</v>
      </c>
      <c r="D28" s="92" t="s">
        <v>57</v>
      </c>
      <c r="E28" s="92">
        <f>'Raw Score Check'!H27</f>
        <v>0</v>
      </c>
      <c r="F28" s="134">
        <v>0</v>
      </c>
      <c r="G28" s="134">
        <v>0</v>
      </c>
      <c r="H28" s="134">
        <v>0</v>
      </c>
      <c r="I28" s="134">
        <v>1</v>
      </c>
      <c r="J28" s="93"/>
      <c r="K28" s="73">
        <v>24</v>
      </c>
      <c r="L28" s="92" t="s">
        <v>65</v>
      </c>
      <c r="M28" s="92" t="s">
        <v>66</v>
      </c>
      <c r="N28" s="92">
        <f>'Raw Score Check'!K27</f>
        <v>0</v>
      </c>
      <c r="O28" s="134">
        <v>0</v>
      </c>
      <c r="P28" s="134">
        <v>0</v>
      </c>
      <c r="Q28" s="134">
        <v>0</v>
      </c>
      <c r="R28" s="134">
        <v>0</v>
      </c>
      <c r="S28" s="93"/>
      <c r="U28" s="92"/>
      <c r="V28" s="92"/>
      <c r="W28" s="92"/>
      <c r="X28" s="92"/>
      <c r="Y28" s="92"/>
      <c r="AA28" s="73">
        <v>24</v>
      </c>
      <c r="AB28" s="92" t="s">
        <v>107</v>
      </c>
      <c r="AC28" s="92" t="s">
        <v>114</v>
      </c>
      <c r="AD28" s="93">
        <f>'Raw Score Check'!Q27</f>
        <v>0</v>
      </c>
      <c r="AE28" s="155">
        <v>0</v>
      </c>
      <c r="AF28" s="155">
        <v>0</v>
      </c>
    </row>
    <row r="29" spans="2:32" ht="32.25" customHeight="1">
      <c r="B29" s="73">
        <v>25</v>
      </c>
      <c r="C29" s="92" t="s">
        <v>52</v>
      </c>
      <c r="D29" s="92" t="s">
        <v>56</v>
      </c>
      <c r="E29" s="92">
        <f>'Raw Score Check'!H28</f>
        <v>0</v>
      </c>
      <c r="F29" s="134">
        <v>0</v>
      </c>
      <c r="G29" s="134">
        <v>0</v>
      </c>
      <c r="H29" s="134">
        <v>0</v>
      </c>
      <c r="I29" s="134">
        <v>1</v>
      </c>
      <c r="J29" s="93"/>
      <c r="K29" s="73">
        <v>25</v>
      </c>
      <c r="L29" s="92" t="s">
        <v>65</v>
      </c>
      <c r="M29" s="92" t="s">
        <v>67</v>
      </c>
      <c r="N29" s="92">
        <f>'Raw Score Check'!K28</f>
        <v>0</v>
      </c>
      <c r="O29" s="134">
        <v>0</v>
      </c>
      <c r="P29" s="134">
        <v>0</v>
      </c>
      <c r="Q29" s="134">
        <v>0</v>
      </c>
      <c r="R29" s="134">
        <v>0</v>
      </c>
      <c r="S29" s="93"/>
      <c r="U29" s="92"/>
      <c r="V29" s="92"/>
      <c r="W29" s="92"/>
      <c r="X29" s="92"/>
      <c r="Y29" s="92"/>
      <c r="AA29" s="73">
        <v>25</v>
      </c>
      <c r="AB29" s="92" t="s">
        <v>81</v>
      </c>
      <c r="AC29" s="92" t="s">
        <v>84</v>
      </c>
      <c r="AD29" s="93">
        <f>'Raw Score Check'!Q28</f>
        <v>0</v>
      </c>
      <c r="AE29" s="155">
        <v>0</v>
      </c>
      <c r="AF29" s="155">
        <v>1</v>
      </c>
    </row>
    <row r="30" spans="2:32" ht="32.25" customHeight="1">
      <c r="B30" s="73">
        <v>26</v>
      </c>
      <c r="C30" s="92" t="s">
        <v>40</v>
      </c>
      <c r="D30" s="92" t="s">
        <v>41</v>
      </c>
      <c r="E30" s="92">
        <f>'Raw Score Check'!H29</f>
        <v>0</v>
      </c>
      <c r="F30" s="134">
        <v>0</v>
      </c>
      <c r="G30" s="134">
        <v>0</v>
      </c>
      <c r="H30" s="134">
        <v>0</v>
      </c>
      <c r="I30" s="134">
        <v>1</v>
      </c>
      <c r="J30" s="93"/>
      <c r="K30" s="73">
        <v>26</v>
      </c>
      <c r="L30" s="92" t="s">
        <v>65</v>
      </c>
      <c r="M30" s="92" t="s">
        <v>68</v>
      </c>
      <c r="N30" s="92">
        <f>'Raw Score Check'!K29</f>
        <v>0</v>
      </c>
      <c r="O30" s="134">
        <v>0</v>
      </c>
      <c r="P30" s="134">
        <v>0</v>
      </c>
      <c r="Q30" s="134">
        <v>0</v>
      </c>
      <c r="R30" s="134">
        <v>0</v>
      </c>
      <c r="S30" s="93"/>
      <c r="U30" s="92"/>
      <c r="V30" s="92"/>
      <c r="W30" s="92"/>
      <c r="X30" s="92"/>
      <c r="Y30" s="92"/>
      <c r="AA30" s="73">
        <v>26</v>
      </c>
      <c r="AB30" s="92" t="s">
        <v>96</v>
      </c>
      <c r="AC30" s="92" t="s">
        <v>98</v>
      </c>
      <c r="AD30" s="93">
        <f>'Raw Score Check'!Q29</f>
        <v>0</v>
      </c>
      <c r="AE30" s="155">
        <v>0</v>
      </c>
      <c r="AF30" s="155">
        <v>1</v>
      </c>
    </row>
    <row r="31" spans="2:32" ht="32.25" customHeight="1">
      <c r="B31" s="73">
        <v>27</v>
      </c>
      <c r="C31" s="92" t="s">
        <v>52</v>
      </c>
      <c r="D31" s="92" t="s">
        <v>53</v>
      </c>
      <c r="E31" s="92">
        <f>'Raw Score Check'!H30</f>
        <v>0</v>
      </c>
      <c r="F31" s="134">
        <v>1</v>
      </c>
      <c r="G31" s="134">
        <v>0</v>
      </c>
      <c r="H31" s="134">
        <v>0</v>
      </c>
      <c r="I31" s="134">
        <v>1</v>
      </c>
      <c r="J31" s="93"/>
      <c r="K31" s="73">
        <v>27</v>
      </c>
      <c r="L31" s="92" t="s">
        <v>61</v>
      </c>
      <c r="M31" s="92" t="s">
        <v>64</v>
      </c>
      <c r="N31" s="92">
        <f>'Raw Score Check'!K30</f>
        <v>0</v>
      </c>
      <c r="O31" s="134">
        <v>0</v>
      </c>
      <c r="P31" s="134">
        <v>0</v>
      </c>
      <c r="Q31" s="134">
        <v>0</v>
      </c>
      <c r="R31" s="134">
        <v>0</v>
      </c>
      <c r="S31" s="93"/>
      <c r="U31" s="92"/>
      <c r="V31" s="92"/>
      <c r="W31" s="92"/>
      <c r="X31" s="92"/>
      <c r="Y31" s="92"/>
      <c r="AA31" s="73">
        <v>27</v>
      </c>
      <c r="AB31" s="92" t="s">
        <v>96</v>
      </c>
      <c r="AC31" s="92" t="s">
        <v>104</v>
      </c>
      <c r="AD31" s="93">
        <f>'Raw Score Check'!Q30</f>
        <v>0</v>
      </c>
      <c r="AE31" s="155">
        <v>0</v>
      </c>
      <c r="AF31" s="155">
        <v>1</v>
      </c>
    </row>
    <row r="32" spans="2:32" ht="32.25" customHeight="1">
      <c r="B32" s="73">
        <v>28</v>
      </c>
      <c r="C32" s="92" t="s">
        <v>58</v>
      </c>
      <c r="D32" s="92" t="s">
        <v>60</v>
      </c>
      <c r="E32" s="92">
        <f>'Raw Score Check'!H31</f>
        <v>0</v>
      </c>
      <c r="F32" s="134">
        <v>0</v>
      </c>
      <c r="G32" s="134">
        <v>1</v>
      </c>
      <c r="H32" s="134">
        <v>0</v>
      </c>
      <c r="I32" s="134">
        <v>1</v>
      </c>
      <c r="J32" s="93"/>
      <c r="K32" s="73">
        <v>28</v>
      </c>
      <c r="L32" s="92" t="s">
        <v>61</v>
      </c>
      <c r="M32" s="92" t="s">
        <v>62</v>
      </c>
      <c r="N32" s="92">
        <f>'Raw Score Check'!K31</f>
        <v>0</v>
      </c>
      <c r="O32" s="134">
        <v>0</v>
      </c>
      <c r="P32" s="134">
        <v>1</v>
      </c>
      <c r="Q32" s="134">
        <v>0</v>
      </c>
      <c r="R32" s="134">
        <v>0</v>
      </c>
      <c r="S32" s="93"/>
      <c r="U32" s="92"/>
      <c r="V32" s="92"/>
      <c r="W32" s="92"/>
      <c r="X32" s="92"/>
      <c r="Y32" s="92"/>
      <c r="AA32" s="73">
        <v>28</v>
      </c>
      <c r="AB32" s="92" t="s">
        <v>71</v>
      </c>
      <c r="AC32" s="92" t="s">
        <v>78</v>
      </c>
      <c r="AD32" s="93">
        <f>'Raw Score Check'!Q31</f>
        <v>0</v>
      </c>
      <c r="AE32" s="155">
        <v>0</v>
      </c>
      <c r="AF32" s="155">
        <v>0</v>
      </c>
    </row>
    <row r="33" spans="2:32" ht="32.25" customHeight="1">
      <c r="B33" s="73">
        <v>29</v>
      </c>
      <c r="C33" s="92" t="s">
        <v>58</v>
      </c>
      <c r="D33" s="92" t="s">
        <v>60</v>
      </c>
      <c r="E33" s="92">
        <f>'Raw Score Check'!H32</f>
        <v>0</v>
      </c>
      <c r="F33" s="134">
        <v>0</v>
      </c>
      <c r="G33" s="134">
        <v>1</v>
      </c>
      <c r="H33" s="134">
        <v>0</v>
      </c>
      <c r="I33" s="134">
        <v>1</v>
      </c>
      <c r="J33" s="93"/>
      <c r="K33" s="73">
        <v>29</v>
      </c>
      <c r="L33" s="92" t="s">
        <v>61</v>
      </c>
      <c r="M33" s="92" t="s">
        <v>62</v>
      </c>
      <c r="N33" s="92">
        <f>'Raw Score Check'!K32</f>
        <v>0</v>
      </c>
      <c r="O33" s="134">
        <v>0</v>
      </c>
      <c r="P33" s="134">
        <v>1</v>
      </c>
      <c r="Q33" s="134">
        <v>0</v>
      </c>
      <c r="R33" s="134">
        <v>0</v>
      </c>
      <c r="S33" s="93"/>
      <c r="U33" s="92"/>
      <c r="V33" s="92"/>
      <c r="W33" s="92"/>
      <c r="X33" s="92"/>
      <c r="Y33" s="92"/>
      <c r="AA33" s="73">
        <v>29</v>
      </c>
      <c r="AB33" s="92" t="s">
        <v>81</v>
      </c>
      <c r="AC33" s="92" t="s">
        <v>90</v>
      </c>
      <c r="AD33" s="93">
        <f>'Raw Score Check'!Q32</f>
        <v>0</v>
      </c>
      <c r="AE33" s="155">
        <v>0</v>
      </c>
      <c r="AF33" s="155">
        <v>0</v>
      </c>
    </row>
    <row r="34" spans="2:32" ht="32.25" customHeight="1">
      <c r="B34" s="73">
        <v>30</v>
      </c>
      <c r="C34" s="92" t="s">
        <v>58</v>
      </c>
      <c r="D34" s="92" t="s">
        <v>60</v>
      </c>
      <c r="E34" s="92">
        <f>'Raw Score Check'!H33</f>
        <v>0</v>
      </c>
      <c r="F34" s="134">
        <v>0</v>
      </c>
      <c r="G34" s="134">
        <v>0</v>
      </c>
      <c r="H34" s="134">
        <v>0</v>
      </c>
      <c r="I34" s="134">
        <v>1</v>
      </c>
      <c r="J34" s="93"/>
      <c r="K34" s="73">
        <v>30</v>
      </c>
      <c r="L34" s="92" t="s">
        <v>65</v>
      </c>
      <c r="M34" s="92" t="s">
        <v>67</v>
      </c>
      <c r="N34" s="92">
        <f>'Raw Score Check'!K33</f>
        <v>0</v>
      </c>
      <c r="O34" s="134">
        <v>0</v>
      </c>
      <c r="P34" s="134">
        <v>0</v>
      </c>
      <c r="Q34" s="134">
        <v>0</v>
      </c>
      <c r="R34" s="134">
        <v>0</v>
      </c>
      <c r="S34" s="93"/>
      <c r="U34" s="92"/>
      <c r="V34" s="92"/>
      <c r="W34" s="92"/>
      <c r="X34" s="92"/>
      <c r="Y34" s="92"/>
      <c r="AA34" s="73">
        <v>30</v>
      </c>
      <c r="AB34" s="92" t="s">
        <v>81</v>
      </c>
      <c r="AC34" s="92" t="s">
        <v>86</v>
      </c>
      <c r="AD34" s="93">
        <f>'Raw Score Check'!Q33</f>
        <v>0</v>
      </c>
      <c r="AE34" s="155">
        <v>0</v>
      </c>
      <c r="AF34" s="155">
        <v>0</v>
      </c>
    </row>
    <row r="35" spans="2:32" ht="32.25" customHeight="1">
      <c r="B35" s="73">
        <v>31</v>
      </c>
      <c r="C35" s="92" t="s">
        <v>58</v>
      </c>
      <c r="D35" s="92" t="s">
        <v>60</v>
      </c>
      <c r="E35" s="92">
        <f>'Raw Score Check'!H34</f>
        <v>0</v>
      </c>
      <c r="F35" s="134">
        <v>0</v>
      </c>
      <c r="G35" s="134">
        <v>0</v>
      </c>
      <c r="H35" s="134">
        <v>0</v>
      </c>
      <c r="I35" s="134">
        <v>1</v>
      </c>
      <c r="J35" s="93"/>
      <c r="K35" s="73">
        <v>31</v>
      </c>
      <c r="L35" s="92" t="s">
        <v>61</v>
      </c>
      <c r="M35" s="92" t="s">
        <v>62</v>
      </c>
      <c r="N35" s="92">
        <f>'Raw Score Check'!K34</f>
        <v>0</v>
      </c>
      <c r="O35" s="134">
        <v>0</v>
      </c>
      <c r="P35" s="134">
        <v>0</v>
      </c>
      <c r="Q35" s="134">
        <v>0</v>
      </c>
      <c r="R35" s="134">
        <v>0</v>
      </c>
      <c r="S35" s="93"/>
      <c r="U35" s="92"/>
      <c r="V35" s="92"/>
      <c r="W35" s="92"/>
      <c r="X35" s="92"/>
      <c r="Y35" s="92"/>
      <c r="AA35" s="73">
        <v>31</v>
      </c>
      <c r="AB35" s="92" t="s">
        <v>71</v>
      </c>
      <c r="AC35" s="92" t="s">
        <v>78</v>
      </c>
      <c r="AD35" s="93">
        <f>'Raw Score Check'!Q34</f>
        <v>0</v>
      </c>
      <c r="AE35" s="155">
        <v>0</v>
      </c>
      <c r="AF35" s="155">
        <v>0</v>
      </c>
    </row>
    <row r="36" spans="2:32" ht="32.25" customHeight="1">
      <c r="B36" s="73">
        <v>32</v>
      </c>
      <c r="C36" s="92" t="s">
        <v>52</v>
      </c>
      <c r="D36" s="92" t="s">
        <v>56</v>
      </c>
      <c r="E36" s="92">
        <f>'Raw Score Check'!H35</f>
        <v>0</v>
      </c>
      <c r="F36" s="134">
        <v>0</v>
      </c>
      <c r="G36" s="134">
        <v>0</v>
      </c>
      <c r="H36" s="134">
        <v>1</v>
      </c>
      <c r="I36" s="134">
        <v>0</v>
      </c>
      <c r="J36" s="93"/>
      <c r="K36" s="73">
        <v>32</v>
      </c>
      <c r="L36" s="92" t="s">
        <v>65</v>
      </c>
      <c r="M36" s="92" t="s">
        <v>68</v>
      </c>
      <c r="N36" s="92">
        <f>'Raw Score Check'!K35</f>
        <v>0</v>
      </c>
      <c r="O36" s="134">
        <v>0</v>
      </c>
      <c r="P36" s="134">
        <v>0</v>
      </c>
      <c r="Q36" s="134">
        <v>0</v>
      </c>
      <c r="R36" s="134">
        <v>0</v>
      </c>
      <c r="S36" s="93"/>
      <c r="U36" s="92"/>
      <c r="V36" s="92"/>
      <c r="W36" s="92"/>
      <c r="X36" s="92"/>
      <c r="Y36" s="92"/>
      <c r="AA36" s="73">
        <v>32</v>
      </c>
      <c r="AB36" s="92" t="s">
        <v>71</v>
      </c>
      <c r="AC36" s="92" t="s">
        <v>78</v>
      </c>
      <c r="AD36" s="93">
        <f>'Raw Score Check'!Q35</f>
        <v>0</v>
      </c>
      <c r="AE36" s="155">
        <v>0</v>
      </c>
      <c r="AF36" s="155">
        <v>0</v>
      </c>
    </row>
    <row r="37" spans="2:32" ht="32.25" customHeight="1">
      <c r="B37" s="73">
        <v>33</v>
      </c>
      <c r="C37" s="92" t="s">
        <v>40</v>
      </c>
      <c r="D37" s="92" t="s">
        <v>43</v>
      </c>
      <c r="E37" s="92">
        <f>'Raw Score Check'!H36</f>
        <v>0</v>
      </c>
      <c r="F37" s="134">
        <v>0</v>
      </c>
      <c r="G37" s="134">
        <v>0</v>
      </c>
      <c r="H37" s="134">
        <v>1</v>
      </c>
      <c r="I37" s="134">
        <v>0</v>
      </c>
      <c r="J37" s="93"/>
      <c r="K37" s="73">
        <v>33</v>
      </c>
      <c r="L37" s="92" t="s">
        <v>61</v>
      </c>
      <c r="M37" s="92" t="s">
        <v>64</v>
      </c>
      <c r="N37" s="92">
        <f>'Raw Score Check'!K36</f>
        <v>0</v>
      </c>
      <c r="O37" s="134">
        <v>1</v>
      </c>
      <c r="P37" s="134">
        <v>0</v>
      </c>
      <c r="Q37" s="134">
        <v>0</v>
      </c>
      <c r="R37" s="134">
        <v>0</v>
      </c>
      <c r="S37" s="93"/>
      <c r="U37" s="92"/>
      <c r="V37" s="92"/>
      <c r="W37" s="92"/>
      <c r="X37" s="92"/>
      <c r="Y37" s="92"/>
      <c r="AA37" s="73">
        <v>33</v>
      </c>
      <c r="AB37" s="92" t="s">
        <v>96</v>
      </c>
      <c r="AC37" s="92" t="s">
        <v>106</v>
      </c>
      <c r="AD37" s="93">
        <f>'Raw Score Check'!Q36</f>
        <v>0</v>
      </c>
      <c r="AE37" s="155">
        <v>1</v>
      </c>
      <c r="AF37" s="155">
        <v>0</v>
      </c>
    </row>
    <row r="38" spans="2:32" ht="32.25" customHeight="1">
      <c r="B38" s="73">
        <v>34</v>
      </c>
      <c r="C38" s="92" t="s">
        <v>52</v>
      </c>
      <c r="D38" s="92" t="s">
        <v>53</v>
      </c>
      <c r="E38" s="92">
        <f>'Raw Score Check'!H37</f>
        <v>0</v>
      </c>
      <c r="F38" s="134">
        <v>1</v>
      </c>
      <c r="G38" s="134">
        <v>0</v>
      </c>
      <c r="H38" s="134">
        <v>1</v>
      </c>
      <c r="I38" s="134">
        <v>0</v>
      </c>
      <c r="J38" s="93"/>
      <c r="K38" s="73">
        <v>34</v>
      </c>
      <c r="L38" s="92" t="s">
        <v>61</v>
      </c>
      <c r="M38" s="92" t="s">
        <v>63</v>
      </c>
      <c r="N38" s="92">
        <f>'Raw Score Check'!K37</f>
        <v>0</v>
      </c>
      <c r="O38" s="134">
        <v>0</v>
      </c>
      <c r="P38" s="134">
        <v>0</v>
      </c>
      <c r="Q38" s="134">
        <v>0</v>
      </c>
      <c r="R38" s="134">
        <v>0</v>
      </c>
      <c r="S38" s="93"/>
      <c r="U38" s="92"/>
      <c r="V38" s="92"/>
      <c r="W38" s="92"/>
      <c r="X38" s="92"/>
      <c r="Y38" s="92"/>
      <c r="AA38" s="73">
        <v>34</v>
      </c>
      <c r="AB38" s="92" t="s">
        <v>96</v>
      </c>
      <c r="AC38" s="92" t="s">
        <v>104</v>
      </c>
      <c r="AD38" s="93">
        <f>'Raw Score Check'!Q37</f>
        <v>0</v>
      </c>
      <c r="AE38" s="155">
        <v>0</v>
      </c>
      <c r="AF38" s="155">
        <v>0</v>
      </c>
    </row>
    <row r="39" spans="2:32" ht="32.25" customHeight="1">
      <c r="B39" s="73">
        <v>35</v>
      </c>
      <c r="C39" s="92" t="s">
        <v>40</v>
      </c>
      <c r="D39" s="92" t="s">
        <v>41</v>
      </c>
      <c r="E39" s="92">
        <f>'Raw Score Check'!H38</f>
        <v>0</v>
      </c>
      <c r="F39" s="134">
        <v>0</v>
      </c>
      <c r="G39" s="134">
        <v>0</v>
      </c>
      <c r="H39" s="134">
        <v>1</v>
      </c>
      <c r="I39" s="134">
        <v>0</v>
      </c>
      <c r="J39" s="93"/>
      <c r="K39" s="73">
        <v>35</v>
      </c>
      <c r="L39" s="92" t="s">
        <v>61</v>
      </c>
      <c r="M39" s="92" t="s">
        <v>64</v>
      </c>
      <c r="N39" s="92">
        <f>'Raw Score Check'!K38</f>
        <v>0</v>
      </c>
      <c r="O39" s="134">
        <v>1</v>
      </c>
      <c r="P39" s="134">
        <v>0</v>
      </c>
      <c r="Q39" s="134">
        <v>0</v>
      </c>
      <c r="R39" s="134">
        <v>0</v>
      </c>
      <c r="S39" s="93"/>
      <c r="U39" s="92"/>
      <c r="V39" s="92"/>
      <c r="W39" s="92"/>
      <c r="X39" s="92"/>
      <c r="Y39" s="92"/>
      <c r="AA39" s="73">
        <v>35</v>
      </c>
      <c r="AB39" s="92" t="s">
        <v>107</v>
      </c>
      <c r="AC39" s="92" t="s">
        <v>108</v>
      </c>
      <c r="AD39" s="93">
        <f>'Raw Score Check'!Q38</f>
        <v>0</v>
      </c>
      <c r="AE39" s="155">
        <v>0</v>
      </c>
      <c r="AF39" s="155">
        <v>0</v>
      </c>
    </row>
    <row r="40" spans="2:32" ht="32.25" customHeight="1">
      <c r="B40" s="73">
        <v>36</v>
      </c>
      <c r="C40" s="92" t="s">
        <v>40</v>
      </c>
      <c r="D40" s="92" t="s">
        <v>41</v>
      </c>
      <c r="E40" s="92">
        <f>'Raw Score Check'!H39</f>
        <v>0</v>
      </c>
      <c r="F40" s="134">
        <v>0</v>
      </c>
      <c r="G40" s="134">
        <v>0</v>
      </c>
      <c r="H40" s="134">
        <v>1</v>
      </c>
      <c r="I40" s="134">
        <v>0</v>
      </c>
      <c r="J40" s="93"/>
      <c r="K40" s="73">
        <v>36</v>
      </c>
      <c r="L40" s="92" t="s">
        <v>65</v>
      </c>
      <c r="M40" s="92" t="s">
        <v>66</v>
      </c>
      <c r="N40" s="92">
        <f>'Raw Score Check'!K39</f>
        <v>0</v>
      </c>
      <c r="O40" s="134">
        <v>0</v>
      </c>
      <c r="P40" s="134">
        <v>0</v>
      </c>
      <c r="Q40" s="134">
        <v>0</v>
      </c>
      <c r="R40" s="134">
        <v>0</v>
      </c>
      <c r="S40" s="93"/>
      <c r="U40" s="92"/>
      <c r="V40" s="92"/>
      <c r="W40" s="92"/>
      <c r="X40" s="92"/>
      <c r="Y40" s="92"/>
      <c r="AA40" s="73">
        <v>36</v>
      </c>
      <c r="AB40" s="92" t="s">
        <v>81</v>
      </c>
      <c r="AC40" s="92" t="s">
        <v>93</v>
      </c>
      <c r="AD40" s="93">
        <f>'Raw Score Check'!Q39</f>
        <v>0</v>
      </c>
      <c r="AE40" s="155">
        <v>0</v>
      </c>
      <c r="AF40" s="155">
        <v>0</v>
      </c>
    </row>
    <row r="41" spans="2:32" ht="32.25" customHeight="1">
      <c r="B41" s="73">
        <v>37</v>
      </c>
      <c r="C41" s="92" t="s">
        <v>40</v>
      </c>
      <c r="D41" s="92" t="s">
        <v>42</v>
      </c>
      <c r="E41" s="92">
        <f>'Raw Score Check'!H40</f>
        <v>0</v>
      </c>
      <c r="F41" s="134">
        <v>0</v>
      </c>
      <c r="G41" s="134">
        <v>1</v>
      </c>
      <c r="H41" s="134">
        <v>1</v>
      </c>
      <c r="I41" s="134">
        <v>0</v>
      </c>
      <c r="J41" s="93"/>
      <c r="K41" s="73">
        <v>37</v>
      </c>
      <c r="L41" s="92" t="s">
        <v>61</v>
      </c>
      <c r="M41" s="92" t="s">
        <v>63</v>
      </c>
      <c r="N41" s="92">
        <f>'Raw Score Check'!K40</f>
        <v>0</v>
      </c>
      <c r="O41" s="134">
        <v>0</v>
      </c>
      <c r="P41" s="134">
        <v>1</v>
      </c>
      <c r="Q41" s="134">
        <v>0</v>
      </c>
      <c r="R41" s="134">
        <v>0</v>
      </c>
      <c r="S41" s="93"/>
      <c r="U41" s="92"/>
      <c r="V41" s="92"/>
      <c r="W41" s="92"/>
      <c r="X41" s="92"/>
      <c r="Y41" s="92"/>
      <c r="AA41" s="73">
        <v>37</v>
      </c>
      <c r="AB41" s="92" t="s">
        <v>81</v>
      </c>
      <c r="AC41" s="92" t="s">
        <v>84</v>
      </c>
      <c r="AD41" s="93">
        <f>'Raw Score Check'!Q40</f>
        <v>0</v>
      </c>
      <c r="AE41" s="155">
        <v>1</v>
      </c>
      <c r="AF41" s="155">
        <v>0</v>
      </c>
    </row>
    <row r="42" spans="2:32" ht="32.25" customHeight="1" thickBot="1">
      <c r="B42" s="73">
        <v>38</v>
      </c>
      <c r="C42" s="92" t="s">
        <v>40</v>
      </c>
      <c r="D42" s="92" t="s">
        <v>41</v>
      </c>
      <c r="E42" s="92">
        <f>'Raw Score Check'!H41</f>
        <v>0</v>
      </c>
      <c r="F42" s="134">
        <v>0</v>
      </c>
      <c r="G42" s="134">
        <v>0</v>
      </c>
      <c r="H42" s="134">
        <v>1</v>
      </c>
      <c r="I42" s="134">
        <v>0</v>
      </c>
      <c r="J42" s="93"/>
      <c r="K42" s="73">
        <v>38</v>
      </c>
      <c r="L42" s="92" t="s">
        <v>61</v>
      </c>
      <c r="M42" s="92" t="s">
        <v>63</v>
      </c>
      <c r="N42" s="92">
        <f>'Raw Score Check'!K41</f>
        <v>0</v>
      </c>
      <c r="O42" s="134">
        <v>0</v>
      </c>
      <c r="P42" s="134">
        <v>0</v>
      </c>
      <c r="Q42" s="134">
        <v>0</v>
      </c>
      <c r="R42" s="134">
        <v>0</v>
      </c>
      <c r="S42" s="93"/>
      <c r="U42" s="92"/>
      <c r="V42" s="92"/>
      <c r="W42" s="92"/>
      <c r="X42" s="92"/>
      <c r="Y42" s="92"/>
      <c r="AA42" s="74">
        <v>38</v>
      </c>
      <c r="AB42" s="92" t="s">
        <v>81</v>
      </c>
      <c r="AC42" s="92" t="s">
        <v>84</v>
      </c>
      <c r="AD42" s="93">
        <f>'Raw Score Check'!Q41</f>
        <v>0</v>
      </c>
      <c r="AE42" s="155">
        <v>1</v>
      </c>
      <c r="AF42" s="155">
        <v>0</v>
      </c>
    </row>
    <row r="43" spans="2:32" ht="32.25" customHeight="1">
      <c r="B43" s="73">
        <v>39</v>
      </c>
      <c r="C43" s="92" t="s">
        <v>40</v>
      </c>
      <c r="D43" s="92" t="s">
        <v>42</v>
      </c>
      <c r="E43" s="92">
        <f>'Raw Score Check'!H42</f>
        <v>0</v>
      </c>
      <c r="F43" s="134">
        <v>0</v>
      </c>
      <c r="G43" s="134">
        <v>1</v>
      </c>
      <c r="H43" s="134">
        <v>1</v>
      </c>
      <c r="I43" s="134">
        <v>0</v>
      </c>
      <c r="J43" s="93"/>
      <c r="K43" s="73">
        <v>39</v>
      </c>
      <c r="L43" s="92" t="s">
        <v>61</v>
      </c>
      <c r="M43" s="92" t="s">
        <v>64</v>
      </c>
      <c r="N43" s="92">
        <f>'Raw Score Check'!K42</f>
        <v>0</v>
      </c>
      <c r="O43" s="134">
        <v>1</v>
      </c>
      <c r="P43" s="134">
        <v>0</v>
      </c>
      <c r="Q43" s="134">
        <v>0</v>
      </c>
      <c r="R43" s="134">
        <v>0</v>
      </c>
      <c r="S43" s="93"/>
      <c r="U43" s="92"/>
      <c r="V43" s="92"/>
      <c r="W43" s="92"/>
      <c r="X43" s="92"/>
      <c r="Y43" s="92"/>
      <c r="AB43" s="92"/>
      <c r="AC43" s="92"/>
    </row>
    <row r="44" spans="2:32" ht="32.25" customHeight="1">
      <c r="B44" s="73">
        <v>40</v>
      </c>
      <c r="C44" s="92" t="s">
        <v>40</v>
      </c>
      <c r="D44" s="92" t="s">
        <v>46</v>
      </c>
      <c r="E44" s="92">
        <f>'Raw Score Check'!H43</f>
        <v>0</v>
      </c>
      <c r="F44" s="134">
        <v>1</v>
      </c>
      <c r="G44" s="134">
        <v>0</v>
      </c>
      <c r="H44" s="134">
        <v>1</v>
      </c>
      <c r="I44" s="134">
        <v>0</v>
      </c>
      <c r="J44" s="93"/>
      <c r="K44" s="73">
        <v>40</v>
      </c>
      <c r="L44" s="92" t="s">
        <v>65</v>
      </c>
      <c r="M44" s="92" t="s">
        <v>66</v>
      </c>
      <c r="N44" s="92">
        <f>'Raw Score Check'!K43</f>
        <v>0</v>
      </c>
      <c r="O44" s="134">
        <v>0</v>
      </c>
      <c r="P44" s="134">
        <v>0</v>
      </c>
      <c r="Q44" s="134">
        <v>0</v>
      </c>
      <c r="R44" s="134">
        <v>0</v>
      </c>
      <c r="S44" s="93"/>
      <c r="U44" s="92"/>
      <c r="V44" s="92"/>
      <c r="W44" s="92"/>
      <c r="X44" s="92"/>
      <c r="Y44" s="92"/>
      <c r="AB44" s="92"/>
      <c r="AC44" s="92"/>
    </row>
    <row r="45" spans="2:32" ht="32.25" customHeight="1">
      <c r="B45" s="73">
        <v>41</v>
      </c>
      <c r="C45" s="92" t="s">
        <v>52</v>
      </c>
      <c r="D45" s="92" t="s">
        <v>56</v>
      </c>
      <c r="E45" s="92">
        <f>'Raw Score Check'!H44</f>
        <v>0</v>
      </c>
      <c r="F45" s="134">
        <v>0</v>
      </c>
      <c r="G45" s="134">
        <v>0</v>
      </c>
      <c r="H45" s="134">
        <v>1</v>
      </c>
      <c r="I45" s="134">
        <v>0</v>
      </c>
      <c r="J45" s="93"/>
      <c r="K45" s="73">
        <v>41</v>
      </c>
      <c r="L45" s="92" t="s">
        <v>65</v>
      </c>
      <c r="M45" s="92" t="s">
        <v>68</v>
      </c>
      <c r="N45" s="92">
        <f>'Raw Score Check'!K44</f>
        <v>0</v>
      </c>
      <c r="O45" s="134">
        <v>0</v>
      </c>
      <c r="P45" s="134">
        <v>0</v>
      </c>
      <c r="Q45" s="134">
        <v>0</v>
      </c>
      <c r="R45" s="134">
        <v>0</v>
      </c>
      <c r="S45" s="93"/>
      <c r="U45" s="92"/>
      <c r="V45" s="92"/>
      <c r="W45" s="92"/>
      <c r="X45" s="92"/>
      <c r="Y45" s="92"/>
      <c r="AB45" s="92"/>
      <c r="AC45" s="92"/>
    </row>
    <row r="46" spans="2:32" ht="32.25" customHeight="1">
      <c r="B46" s="73">
        <v>42</v>
      </c>
      <c r="C46" s="92" t="s">
        <v>52</v>
      </c>
      <c r="D46" s="92" t="s">
        <v>56</v>
      </c>
      <c r="E46" s="92">
        <f>'Raw Score Check'!H45</f>
        <v>0</v>
      </c>
      <c r="F46" s="134">
        <v>0</v>
      </c>
      <c r="G46" s="134">
        <v>0</v>
      </c>
      <c r="H46" s="134">
        <v>0</v>
      </c>
      <c r="I46" s="134">
        <v>1</v>
      </c>
      <c r="J46" s="93"/>
      <c r="K46" s="73">
        <v>42</v>
      </c>
      <c r="L46" s="92" t="s">
        <v>61</v>
      </c>
      <c r="M46" s="92" t="s">
        <v>62</v>
      </c>
      <c r="N46" s="92">
        <f>'Raw Score Check'!K45</f>
        <v>0</v>
      </c>
      <c r="O46" s="134">
        <v>0</v>
      </c>
      <c r="P46" s="134">
        <v>1</v>
      </c>
      <c r="Q46" s="134">
        <v>0</v>
      </c>
      <c r="R46" s="134">
        <v>0</v>
      </c>
      <c r="S46" s="93"/>
      <c r="U46" s="92"/>
      <c r="V46" s="92"/>
      <c r="W46" s="92"/>
      <c r="X46" s="92"/>
      <c r="Y46" s="92"/>
      <c r="AB46" s="92"/>
      <c r="AC46" s="92"/>
    </row>
    <row r="47" spans="2:32" ht="32.25" customHeight="1">
      <c r="B47" s="73">
        <v>43</v>
      </c>
      <c r="C47" s="92" t="s">
        <v>40</v>
      </c>
      <c r="D47" s="92" t="s">
        <v>41</v>
      </c>
      <c r="E47" s="92">
        <f>'Raw Score Check'!H46</f>
        <v>0</v>
      </c>
      <c r="F47" s="134">
        <v>0</v>
      </c>
      <c r="G47" s="134">
        <v>0</v>
      </c>
      <c r="H47" s="134">
        <v>0</v>
      </c>
      <c r="I47" s="134">
        <v>1</v>
      </c>
      <c r="J47" s="93"/>
      <c r="K47" s="73">
        <v>43</v>
      </c>
      <c r="L47" s="92" t="s">
        <v>65</v>
      </c>
      <c r="M47" s="92" t="s">
        <v>67</v>
      </c>
      <c r="N47" s="92">
        <f>'Raw Score Check'!K46</f>
        <v>0</v>
      </c>
      <c r="O47" s="134">
        <v>0</v>
      </c>
      <c r="P47" s="134">
        <v>0</v>
      </c>
      <c r="Q47" s="134">
        <v>0</v>
      </c>
      <c r="R47" s="134">
        <v>0</v>
      </c>
      <c r="S47" s="93"/>
      <c r="U47" s="92"/>
      <c r="V47" s="92"/>
      <c r="W47" s="92"/>
      <c r="X47" s="92"/>
      <c r="Y47" s="92"/>
      <c r="AB47" s="92"/>
      <c r="AC47" s="92"/>
    </row>
    <row r="48" spans="2:32" ht="32.25" customHeight="1" thickBot="1">
      <c r="B48" s="73">
        <v>44</v>
      </c>
      <c r="C48" s="92" t="s">
        <v>40</v>
      </c>
      <c r="D48" s="92" t="s">
        <v>42</v>
      </c>
      <c r="E48" s="92">
        <f>'Raw Score Check'!H47</f>
        <v>0</v>
      </c>
      <c r="F48" s="134">
        <v>0</v>
      </c>
      <c r="G48" s="134">
        <v>0</v>
      </c>
      <c r="H48" s="134">
        <v>0</v>
      </c>
      <c r="I48" s="134">
        <v>1</v>
      </c>
      <c r="J48" s="93"/>
      <c r="K48" s="74">
        <v>44</v>
      </c>
      <c r="L48" s="92" t="s">
        <v>65</v>
      </c>
      <c r="M48" s="92" t="s">
        <v>67</v>
      </c>
      <c r="N48" s="92">
        <f>'Raw Score Check'!K47</f>
        <v>0</v>
      </c>
      <c r="O48" s="134">
        <v>0</v>
      </c>
      <c r="P48" s="134">
        <v>0</v>
      </c>
      <c r="Q48" s="134">
        <v>0</v>
      </c>
      <c r="R48" s="134">
        <v>0</v>
      </c>
      <c r="S48" s="93"/>
      <c r="U48" s="92"/>
      <c r="V48" s="92"/>
      <c r="W48" s="92"/>
      <c r="X48" s="92"/>
      <c r="Y48" s="92"/>
      <c r="AB48" s="92"/>
      <c r="AC48" s="92"/>
    </row>
    <row r="49" spans="2:25" ht="32.25" customHeight="1">
      <c r="B49" s="73">
        <v>45</v>
      </c>
      <c r="C49" s="92" t="s">
        <v>40</v>
      </c>
      <c r="D49" s="92" t="s">
        <v>46</v>
      </c>
      <c r="E49" s="92">
        <f>'Raw Score Check'!H48</f>
        <v>0</v>
      </c>
      <c r="F49" s="134">
        <v>1</v>
      </c>
      <c r="G49" s="134">
        <v>0</v>
      </c>
      <c r="H49" s="134">
        <v>0</v>
      </c>
      <c r="I49" s="134">
        <v>1</v>
      </c>
      <c r="J49" s="93"/>
      <c r="L49" s="92"/>
      <c r="M49" s="92"/>
      <c r="Q49" s="92"/>
      <c r="V49" s="92"/>
      <c r="W49" s="92"/>
      <c r="X49" s="92"/>
      <c r="Y49" s="92"/>
    </row>
    <row r="50" spans="2:25" ht="32.25" customHeight="1">
      <c r="B50" s="73">
        <v>46</v>
      </c>
      <c r="C50" s="92" t="s">
        <v>52</v>
      </c>
      <c r="D50" s="92" t="s">
        <v>54</v>
      </c>
      <c r="E50" s="92">
        <f>'Raw Score Check'!H49</f>
        <v>0</v>
      </c>
      <c r="F50" s="134">
        <v>0</v>
      </c>
      <c r="G50" s="134">
        <v>0</v>
      </c>
      <c r="H50" s="134">
        <v>0</v>
      </c>
      <c r="I50" s="134">
        <v>1</v>
      </c>
      <c r="J50" s="93"/>
      <c r="L50" s="132" t="s">
        <v>125</v>
      </c>
      <c r="M50" s="92" t="s">
        <v>47</v>
      </c>
      <c r="P50" s="93" t="s">
        <v>48</v>
      </c>
      <c r="Q50" s="92"/>
      <c r="V50" s="92"/>
      <c r="W50" s="92"/>
      <c r="X50" s="92"/>
      <c r="Y50" s="92"/>
    </row>
    <row r="51" spans="2:25" ht="32.25" customHeight="1">
      <c r="B51" s="73">
        <v>47</v>
      </c>
      <c r="C51" s="92" t="s">
        <v>52</v>
      </c>
      <c r="D51" s="92" t="s">
        <v>57</v>
      </c>
      <c r="E51" s="92">
        <f>'Raw Score Check'!H50</f>
        <v>0</v>
      </c>
      <c r="F51" s="134">
        <v>0</v>
      </c>
      <c r="G51" s="134">
        <v>0</v>
      </c>
      <c r="H51" s="134">
        <v>0</v>
      </c>
      <c r="I51" s="134">
        <v>1</v>
      </c>
      <c r="J51" s="93"/>
      <c r="L51" s="92" t="s">
        <v>41</v>
      </c>
      <c r="M51" s="92"/>
      <c r="Q51" s="92"/>
      <c r="V51" s="92"/>
      <c r="W51" s="92"/>
      <c r="X51" s="92"/>
      <c r="Y51" s="92"/>
    </row>
    <row r="52" spans="2:25" ht="32.25" customHeight="1">
      <c r="B52" s="73">
        <v>48</v>
      </c>
      <c r="C52" s="92" t="s">
        <v>40</v>
      </c>
      <c r="D52" s="92" t="s">
        <v>46</v>
      </c>
      <c r="E52" s="92">
        <f>'Raw Score Check'!H51</f>
        <v>0</v>
      </c>
      <c r="F52" s="134">
        <v>1</v>
      </c>
      <c r="G52" s="134">
        <v>0</v>
      </c>
      <c r="H52" s="134">
        <v>0</v>
      </c>
      <c r="I52" s="134">
        <v>1</v>
      </c>
      <c r="J52" s="93"/>
      <c r="L52" s="92"/>
      <c r="M52" s="92"/>
      <c r="Q52" s="92"/>
      <c r="V52" s="92"/>
      <c r="W52" s="92"/>
      <c r="X52" s="92"/>
      <c r="Y52" s="92"/>
    </row>
    <row r="53" spans="2:25" ht="32.25" customHeight="1">
      <c r="B53" s="73">
        <v>49</v>
      </c>
      <c r="C53" s="92" t="s">
        <v>58</v>
      </c>
      <c r="D53" s="92" t="s">
        <v>59</v>
      </c>
      <c r="E53" s="92">
        <f>'Raw Score Check'!H52</f>
        <v>0</v>
      </c>
      <c r="F53" s="134">
        <v>0</v>
      </c>
      <c r="G53" s="134">
        <v>0</v>
      </c>
      <c r="H53" s="134">
        <v>0</v>
      </c>
      <c r="I53" s="134">
        <v>1</v>
      </c>
      <c r="J53" s="93"/>
      <c r="L53" s="92"/>
      <c r="M53" s="92"/>
      <c r="Q53" s="92"/>
      <c r="V53" s="92"/>
      <c r="W53" s="92"/>
      <c r="X53" s="92"/>
      <c r="Y53" s="92"/>
    </row>
    <row r="54" spans="2:25" ht="32.25" customHeight="1">
      <c r="B54" s="73">
        <v>50</v>
      </c>
      <c r="C54" s="92" t="s">
        <v>58</v>
      </c>
      <c r="D54" s="92" t="s">
        <v>59</v>
      </c>
      <c r="E54" s="92">
        <f>'Raw Score Check'!H53</f>
        <v>0</v>
      </c>
      <c r="F54" s="134">
        <v>0</v>
      </c>
      <c r="G54" s="134">
        <v>0</v>
      </c>
      <c r="H54" s="134">
        <v>0</v>
      </c>
      <c r="I54" s="134">
        <v>1</v>
      </c>
      <c r="J54" s="93"/>
      <c r="L54" s="92"/>
      <c r="M54" s="92"/>
      <c r="Q54" s="92"/>
      <c r="V54" s="92"/>
      <c r="W54" s="92"/>
      <c r="X54" s="92"/>
      <c r="Y54" s="92"/>
    </row>
    <row r="55" spans="2:25" ht="32.25" customHeight="1">
      <c r="B55" s="73">
        <v>51</v>
      </c>
      <c r="C55" s="92" t="s">
        <v>40</v>
      </c>
      <c r="D55" s="92" t="s">
        <v>42</v>
      </c>
      <c r="E55" s="92">
        <f>'Raw Score Check'!H54</f>
        <v>0</v>
      </c>
      <c r="F55" s="134">
        <v>0</v>
      </c>
      <c r="G55" s="134">
        <v>0</v>
      </c>
      <c r="H55" s="134">
        <v>0</v>
      </c>
      <c r="I55" s="134">
        <v>1</v>
      </c>
      <c r="J55" s="93"/>
      <c r="L55" s="92"/>
      <c r="M55" s="92"/>
      <c r="Q55" s="92"/>
      <c r="V55" s="92"/>
      <c r="W55" s="92"/>
      <c r="X55" s="92"/>
      <c r="Y55" s="92"/>
    </row>
    <row r="56" spans="2:25" ht="32.25" customHeight="1" thickBot="1">
      <c r="B56" s="74">
        <v>52</v>
      </c>
      <c r="C56" s="92" t="s">
        <v>58</v>
      </c>
      <c r="D56" s="92" t="s">
        <v>59</v>
      </c>
      <c r="E56" s="92">
        <f>'Raw Score Check'!H55</f>
        <v>0</v>
      </c>
      <c r="F56" s="134">
        <v>0</v>
      </c>
      <c r="G56" s="134">
        <v>0</v>
      </c>
      <c r="H56" s="134">
        <v>0</v>
      </c>
      <c r="I56" s="134">
        <v>1</v>
      </c>
      <c r="J56" s="93"/>
      <c r="L56" s="92"/>
      <c r="M56" s="92"/>
      <c r="Q56" s="92"/>
      <c r="V56" s="92"/>
      <c r="W56" s="92"/>
      <c r="X56" s="92"/>
      <c r="Y56" s="92"/>
    </row>
  </sheetData>
  <dataValidations count="5">
    <dataValidation type="list" allowBlank="1" showInputMessage="1" showErrorMessage="1" sqref="L5:L48">
      <formula1>WritingHeader</formula1>
    </dataValidation>
    <dataValidation type="list" allowBlank="1" showInputMessage="1" showErrorMessage="1" sqref="V5:V24">
      <formula1>MathDependentList</formula1>
    </dataValidation>
    <dataValidation type="list" allowBlank="1" showInputMessage="1" showErrorMessage="1" sqref="D5:I56">
      <formula1>ReadingDependentList</formula1>
    </dataValidation>
    <dataValidation type="list" allowBlank="1" showInputMessage="1" showErrorMessage="1" sqref="M5:R48">
      <formula1>WritingDependentList</formula1>
    </dataValidation>
    <dataValidation type="list" allowBlank="1" showInputMessage="1" showErrorMessage="1" sqref="AC5:AC42">
      <formula1>MathDependentList2</formula1>
    </dataValidation>
  </dataValidations>
  <pageMargins left="0.7" right="0.7" top="0.75" bottom="0.75" header="0.3" footer="0.3"/>
  <pageSetup scale="38" fitToHeight="0" orientation="portrait" r:id="rId1"/>
  <tableParts count="4">
    <tablePart r:id="rId2"/>
    <tablePart r:id="rId3"/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Key!$G$3:$J$3</xm:f>
          </x14:formula1>
          <xm:sqref>C5:C56</xm:sqref>
        </x14:dataValidation>
        <x14:dataValidation type="list" allowBlank="1" showInputMessage="1" showErrorMessage="1">
          <x14:formula1>
            <xm:f>'Skill Key'!$A$3:$E$3</xm:f>
          </x14:formula1>
          <xm:sqref>U5:U24 AB5:AB42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8">
    <pageSetUpPr fitToPage="1"/>
  </sheetPr>
  <dimension ref="A1:AF56"/>
  <sheetViews>
    <sheetView topLeftCell="F40" zoomScale="85" zoomScaleNormal="85" workbookViewId="0">
      <selection activeCell="M48" sqref="M48"/>
    </sheetView>
  </sheetViews>
  <sheetFormatPr defaultColWidth="10" defaultRowHeight="15"/>
  <cols>
    <col min="1" max="1" width="7" style="93" customWidth="1"/>
    <col min="2" max="2" width="10" style="93"/>
    <col min="3" max="6" width="10" style="92"/>
    <col min="7" max="7" width="10" style="93"/>
    <col min="8" max="8" width="10.5703125" style="92" customWidth="1"/>
    <col min="9" max="9" width="10" style="92"/>
    <col min="10" max="10" width="5.28515625" style="92" customWidth="1"/>
    <col min="11" max="13" width="10" style="93"/>
    <col min="14" max="14" width="10" style="92"/>
    <col min="15" max="15" width="9.5703125" style="92" customWidth="1"/>
    <col min="16" max="17" width="10" style="93"/>
    <col min="18" max="18" width="13" style="92" customWidth="1"/>
    <col min="19" max="19" width="3.28515625" style="92" customWidth="1"/>
    <col min="20" max="20" width="10.7109375" style="93" customWidth="1"/>
    <col min="21" max="21" width="10.5703125" style="93" customWidth="1"/>
    <col min="22" max="22" width="10" style="93"/>
    <col min="23" max="23" width="12" style="93" customWidth="1"/>
    <col min="24" max="16384" width="10" style="93"/>
  </cols>
  <sheetData>
    <row r="1" spans="1:32">
      <c r="A1" s="65" t="s">
        <v>214</v>
      </c>
    </row>
    <row r="4" spans="1:32" ht="54" customHeight="1" thickBot="1">
      <c r="B4" s="65" t="s">
        <v>117</v>
      </c>
      <c r="C4" s="132" t="s">
        <v>118</v>
      </c>
      <c r="D4" s="132" t="s">
        <v>119</v>
      </c>
      <c r="E4" s="132" t="s">
        <v>126</v>
      </c>
      <c r="F4" s="132" t="s">
        <v>139</v>
      </c>
      <c r="G4" s="132" t="s">
        <v>140</v>
      </c>
      <c r="H4" s="132" t="s">
        <v>143</v>
      </c>
      <c r="I4" s="132" t="s">
        <v>144</v>
      </c>
      <c r="J4" s="93"/>
      <c r="K4" s="65" t="s">
        <v>120</v>
      </c>
      <c r="L4" s="132" t="s">
        <v>118</v>
      </c>
      <c r="M4" s="132" t="s">
        <v>119</v>
      </c>
      <c r="N4" s="132" t="s">
        <v>126</v>
      </c>
      <c r="O4" s="132" t="s">
        <v>139</v>
      </c>
      <c r="P4" s="132" t="s">
        <v>140</v>
      </c>
      <c r="Q4" s="132" t="s">
        <v>143</v>
      </c>
      <c r="R4" s="132" t="s">
        <v>144</v>
      </c>
      <c r="S4" s="93"/>
      <c r="T4" s="141" t="s">
        <v>121</v>
      </c>
      <c r="U4" s="142" t="s">
        <v>118</v>
      </c>
      <c r="V4" s="142" t="s">
        <v>119</v>
      </c>
      <c r="W4" s="143" t="s">
        <v>126</v>
      </c>
      <c r="X4" s="153" t="s">
        <v>143</v>
      </c>
      <c r="Y4" s="153" t="s">
        <v>144</v>
      </c>
      <c r="AA4" s="65" t="s">
        <v>122</v>
      </c>
      <c r="AB4" s="132" t="s">
        <v>118</v>
      </c>
      <c r="AC4" s="132" t="s">
        <v>119</v>
      </c>
      <c r="AD4" s="65" t="s">
        <v>126</v>
      </c>
      <c r="AE4" s="65" t="s">
        <v>143</v>
      </c>
      <c r="AF4" s="65" t="s">
        <v>144</v>
      </c>
    </row>
    <row r="5" spans="1:32" ht="32.25" customHeight="1">
      <c r="B5" s="73">
        <v>1</v>
      </c>
      <c r="C5" s="92" t="s">
        <v>52</v>
      </c>
      <c r="D5" s="92" t="s">
        <v>56</v>
      </c>
      <c r="E5" s="92">
        <f>'Raw Score Check'!H4</f>
        <v>0</v>
      </c>
      <c r="F5" s="134">
        <v>0</v>
      </c>
      <c r="G5" s="134"/>
      <c r="H5" s="134"/>
      <c r="I5" s="134"/>
      <c r="J5" s="93"/>
      <c r="K5" s="133">
        <v>1</v>
      </c>
      <c r="L5" s="92" t="s">
        <v>65</v>
      </c>
      <c r="M5" s="92" t="s">
        <v>68</v>
      </c>
      <c r="N5" s="92">
        <f>'Raw Score Check'!K4</f>
        <v>0</v>
      </c>
      <c r="O5" s="134"/>
      <c r="P5" s="134"/>
      <c r="Q5" s="134"/>
      <c r="R5" s="134"/>
      <c r="S5" s="93"/>
      <c r="T5" s="144">
        <v>1</v>
      </c>
      <c r="U5" s="145" t="s">
        <v>71</v>
      </c>
      <c r="V5" s="146" t="s">
        <v>74</v>
      </c>
      <c r="W5" s="147">
        <f>'Raw Score Check'!N4</f>
        <v>0</v>
      </c>
      <c r="X5" s="154"/>
      <c r="Y5" s="154"/>
      <c r="AA5" s="73">
        <v>1</v>
      </c>
      <c r="AB5" s="92" t="s">
        <v>81</v>
      </c>
      <c r="AC5" s="92" t="s">
        <v>85</v>
      </c>
      <c r="AD5" s="93">
        <f>'Raw Score Check'!Q4</f>
        <v>0</v>
      </c>
      <c r="AE5" s="155"/>
      <c r="AF5" s="155"/>
    </row>
    <row r="6" spans="1:32" ht="32.25" customHeight="1">
      <c r="B6" s="73">
        <v>2</v>
      </c>
      <c r="C6" s="92" t="s">
        <v>40</v>
      </c>
      <c r="D6" s="92" t="s">
        <v>46</v>
      </c>
      <c r="E6" s="92">
        <f>'Raw Score Check'!H5</f>
        <v>0</v>
      </c>
      <c r="F6" s="134">
        <v>1</v>
      </c>
      <c r="G6" s="134"/>
      <c r="H6" s="134"/>
      <c r="I6" s="134"/>
      <c r="J6" s="93"/>
      <c r="K6" s="73">
        <v>2</v>
      </c>
      <c r="L6" s="92" t="s">
        <v>65</v>
      </c>
      <c r="M6" s="92" t="s">
        <v>66</v>
      </c>
      <c r="N6" s="92">
        <f>'Raw Score Check'!K5</f>
        <v>0</v>
      </c>
      <c r="O6" s="134"/>
      <c r="P6" s="134"/>
      <c r="Q6" s="134"/>
      <c r="R6" s="134"/>
      <c r="S6" s="93"/>
      <c r="T6" s="144">
        <v>2</v>
      </c>
      <c r="U6" s="148" t="s">
        <v>71</v>
      </c>
      <c r="V6" s="149" t="s">
        <v>73</v>
      </c>
      <c r="W6" s="150">
        <f>'Raw Score Check'!N5</f>
        <v>0</v>
      </c>
      <c r="X6" s="89"/>
      <c r="Y6" s="154"/>
      <c r="AA6" s="73">
        <v>2</v>
      </c>
      <c r="AB6" s="145" t="s">
        <v>96</v>
      </c>
      <c r="AC6" s="92" t="s">
        <v>102</v>
      </c>
      <c r="AD6" s="93">
        <f>'Raw Score Check'!Q5</f>
        <v>0</v>
      </c>
      <c r="AE6" s="155"/>
      <c r="AF6" s="155">
        <v>1</v>
      </c>
    </row>
    <row r="7" spans="1:32" ht="32.25" customHeight="1">
      <c r="B7" s="73">
        <v>3</v>
      </c>
      <c r="C7" s="92" t="s">
        <v>52</v>
      </c>
      <c r="D7" s="92" t="s">
        <v>56</v>
      </c>
      <c r="E7" s="92">
        <f>'Raw Score Check'!H6</f>
        <v>0</v>
      </c>
      <c r="F7" s="134">
        <v>0</v>
      </c>
      <c r="G7" s="134"/>
      <c r="H7" s="134"/>
      <c r="I7" s="134"/>
      <c r="J7" s="93"/>
      <c r="K7" s="73">
        <v>3</v>
      </c>
      <c r="L7" s="92" t="s">
        <v>61</v>
      </c>
      <c r="M7" s="92" t="s">
        <v>64</v>
      </c>
      <c r="N7" s="92">
        <f>'Raw Score Check'!K6</f>
        <v>0</v>
      </c>
      <c r="O7" s="134">
        <v>1</v>
      </c>
      <c r="P7" s="134"/>
      <c r="Q7" s="134"/>
      <c r="R7" s="134">
        <v>1</v>
      </c>
      <c r="S7" s="93"/>
      <c r="T7" s="144">
        <v>3</v>
      </c>
      <c r="U7" s="145" t="s">
        <v>107</v>
      </c>
      <c r="V7" s="146" t="s">
        <v>115</v>
      </c>
      <c r="W7" s="147">
        <f>'Raw Score Check'!N6</f>
        <v>0</v>
      </c>
      <c r="X7" s="154"/>
      <c r="Y7" s="154"/>
      <c r="AA7" s="73">
        <v>3</v>
      </c>
      <c r="AB7" s="92" t="s">
        <v>96</v>
      </c>
      <c r="AC7" s="92" t="s">
        <v>102</v>
      </c>
      <c r="AD7" s="93">
        <f>'Raw Score Check'!Q6</f>
        <v>0</v>
      </c>
      <c r="AE7" s="155"/>
      <c r="AF7" s="155"/>
    </row>
    <row r="8" spans="1:32" ht="32.25" customHeight="1">
      <c r="B8" s="73">
        <v>4</v>
      </c>
      <c r="C8" s="92" t="s">
        <v>40</v>
      </c>
      <c r="D8" s="92" t="s">
        <v>42</v>
      </c>
      <c r="E8" s="92">
        <f>'Raw Score Check'!H7</f>
        <v>0</v>
      </c>
      <c r="F8" s="134">
        <v>0</v>
      </c>
      <c r="G8" s="134">
        <v>1</v>
      </c>
      <c r="H8" s="134"/>
      <c r="I8" s="134"/>
      <c r="J8" s="93"/>
      <c r="K8" s="73">
        <v>4</v>
      </c>
      <c r="L8" s="92" t="s">
        <v>65</v>
      </c>
      <c r="M8" s="92" t="s">
        <v>68</v>
      </c>
      <c r="N8" s="92">
        <f>'Raw Score Check'!K7</f>
        <v>0</v>
      </c>
      <c r="O8" s="134"/>
      <c r="P8" s="134"/>
      <c r="Q8" s="134"/>
      <c r="R8" s="134"/>
      <c r="S8" s="93"/>
      <c r="T8" s="144">
        <v>4</v>
      </c>
      <c r="U8" s="145" t="s">
        <v>81</v>
      </c>
      <c r="V8" s="149" t="s">
        <v>89</v>
      </c>
      <c r="W8" s="150">
        <f>'Raw Score Check'!N7</f>
        <v>0</v>
      </c>
      <c r="X8" s="89"/>
      <c r="Y8" s="154"/>
      <c r="AA8" s="73">
        <v>4</v>
      </c>
      <c r="AB8" s="145" t="s">
        <v>71</v>
      </c>
      <c r="AC8" s="92" t="s">
        <v>74</v>
      </c>
      <c r="AD8" s="93">
        <f>'Raw Score Check'!Q7</f>
        <v>0</v>
      </c>
      <c r="AE8" s="155">
        <v>1</v>
      </c>
      <c r="AF8" s="155"/>
    </row>
    <row r="9" spans="1:32" ht="32.25" customHeight="1">
      <c r="B9" s="73">
        <v>5</v>
      </c>
      <c r="C9" s="92" t="s">
        <v>40</v>
      </c>
      <c r="D9" s="92" t="s">
        <v>45</v>
      </c>
      <c r="E9" s="92">
        <f>'Raw Score Check'!H8</f>
        <v>0</v>
      </c>
      <c r="F9" s="134">
        <v>0</v>
      </c>
      <c r="G9" s="134"/>
      <c r="H9" s="134"/>
      <c r="I9" s="134"/>
      <c r="J9" s="93"/>
      <c r="K9" s="73">
        <v>5</v>
      </c>
      <c r="L9" s="92" t="s">
        <v>61</v>
      </c>
      <c r="M9" s="92" t="s">
        <v>62</v>
      </c>
      <c r="N9" s="92">
        <f>'Raw Score Check'!K8</f>
        <v>0</v>
      </c>
      <c r="O9" s="134"/>
      <c r="P9" s="134"/>
      <c r="Q9" s="134"/>
      <c r="R9" s="134">
        <v>1</v>
      </c>
      <c r="S9" s="93"/>
      <c r="T9" s="144">
        <v>5</v>
      </c>
      <c r="U9" s="145" t="s">
        <v>71</v>
      </c>
      <c r="V9" s="146" t="s">
        <v>76</v>
      </c>
      <c r="W9" s="147">
        <f>'Raw Score Check'!N8</f>
        <v>0</v>
      </c>
      <c r="X9" s="154"/>
      <c r="Y9" s="154"/>
      <c r="AA9" s="73">
        <v>5</v>
      </c>
      <c r="AB9" s="92" t="s">
        <v>81</v>
      </c>
      <c r="AC9" s="92" t="s">
        <v>93</v>
      </c>
      <c r="AD9" s="93">
        <f>'Raw Score Check'!Q8</f>
        <v>0</v>
      </c>
      <c r="AE9" s="155"/>
      <c r="AF9" s="155"/>
    </row>
    <row r="10" spans="1:32" ht="32.25" customHeight="1">
      <c r="B10" s="73">
        <v>6</v>
      </c>
      <c r="C10" s="92" t="s">
        <v>40</v>
      </c>
      <c r="D10" s="92" t="s">
        <v>46</v>
      </c>
      <c r="E10" s="92">
        <f>'Raw Score Check'!H9</f>
        <v>0</v>
      </c>
      <c r="F10" s="134">
        <v>1</v>
      </c>
      <c r="G10" s="134"/>
      <c r="H10" s="134"/>
      <c r="I10" s="134"/>
      <c r="J10" s="93"/>
      <c r="K10" s="73">
        <v>6</v>
      </c>
      <c r="L10" s="92" t="s">
        <v>65</v>
      </c>
      <c r="M10" s="92" t="s">
        <v>66</v>
      </c>
      <c r="N10" s="92">
        <f>'Raw Score Check'!K9</f>
        <v>0</v>
      </c>
      <c r="O10" s="134"/>
      <c r="P10" s="134"/>
      <c r="Q10" s="134"/>
      <c r="R10" s="134"/>
      <c r="S10" s="93"/>
      <c r="T10" s="144">
        <v>6</v>
      </c>
      <c r="U10" s="145" t="s">
        <v>71</v>
      </c>
      <c r="V10" s="149" t="s">
        <v>72</v>
      </c>
      <c r="W10" s="150">
        <f>'Raw Score Check'!N9</f>
        <v>0</v>
      </c>
      <c r="X10" s="89"/>
      <c r="Y10" s="89"/>
      <c r="AA10" s="73">
        <v>6</v>
      </c>
      <c r="AB10" s="145" t="s">
        <v>96</v>
      </c>
      <c r="AC10" s="92" t="s">
        <v>100</v>
      </c>
      <c r="AD10" s="93">
        <f>'Raw Score Check'!Q9</f>
        <v>0</v>
      </c>
      <c r="AE10" s="155">
        <v>1</v>
      </c>
      <c r="AF10" s="155"/>
    </row>
    <row r="11" spans="1:32" ht="32.25" customHeight="1">
      <c r="B11" s="73">
        <v>7</v>
      </c>
      <c r="C11" s="92" t="s">
        <v>40</v>
      </c>
      <c r="D11" s="92" t="s">
        <v>41</v>
      </c>
      <c r="E11" s="92">
        <f>'Raw Score Check'!H10</f>
        <v>0</v>
      </c>
      <c r="F11" s="134">
        <v>0</v>
      </c>
      <c r="G11" s="134"/>
      <c r="H11" s="134"/>
      <c r="I11" s="134"/>
      <c r="J11" s="93"/>
      <c r="K11" s="73">
        <v>7</v>
      </c>
      <c r="L11" s="92" t="s">
        <v>65</v>
      </c>
      <c r="M11" s="92" t="s">
        <v>67</v>
      </c>
      <c r="N11" s="92">
        <f>'Raw Score Check'!K10</f>
        <v>0</v>
      </c>
      <c r="O11" s="134"/>
      <c r="P11" s="134"/>
      <c r="Q11" s="134"/>
      <c r="R11" s="134"/>
      <c r="S11" s="93"/>
      <c r="T11" s="144">
        <v>7</v>
      </c>
      <c r="U11" s="145" t="s">
        <v>81</v>
      </c>
      <c r="V11" s="146" t="s">
        <v>85</v>
      </c>
      <c r="W11" s="147">
        <f>'Raw Score Check'!N10</f>
        <v>0</v>
      </c>
      <c r="X11" s="154"/>
      <c r="Y11" s="154"/>
      <c r="AA11" s="73">
        <v>7</v>
      </c>
      <c r="AB11" s="92" t="s">
        <v>96</v>
      </c>
      <c r="AC11" s="92" t="s">
        <v>106</v>
      </c>
      <c r="AD11" s="93">
        <f>'Raw Score Check'!Q10</f>
        <v>0</v>
      </c>
      <c r="AE11" s="155">
        <v>1</v>
      </c>
      <c r="AF11" s="155"/>
    </row>
    <row r="12" spans="1:32" ht="32.25" customHeight="1">
      <c r="B12" s="73">
        <v>8</v>
      </c>
      <c r="C12" s="92" t="s">
        <v>40</v>
      </c>
      <c r="D12" s="92" t="s">
        <v>42</v>
      </c>
      <c r="E12" s="92">
        <f>'Raw Score Check'!H11</f>
        <v>0</v>
      </c>
      <c r="F12" s="134">
        <v>0</v>
      </c>
      <c r="G12" s="134">
        <v>1</v>
      </c>
      <c r="H12" s="134"/>
      <c r="I12" s="134"/>
      <c r="J12" s="93"/>
      <c r="K12" s="73">
        <v>8</v>
      </c>
      <c r="L12" s="92" t="s">
        <v>61</v>
      </c>
      <c r="M12" s="92" t="s">
        <v>64</v>
      </c>
      <c r="N12" s="92">
        <f>'Raw Score Check'!K11</f>
        <v>0</v>
      </c>
      <c r="O12" s="134">
        <v>1</v>
      </c>
      <c r="P12" s="134"/>
      <c r="Q12" s="134"/>
      <c r="R12" s="134">
        <v>1</v>
      </c>
      <c r="S12" s="93"/>
      <c r="T12" s="144">
        <v>8</v>
      </c>
      <c r="U12" s="145" t="s">
        <v>81</v>
      </c>
      <c r="V12" s="149" t="s">
        <v>95</v>
      </c>
      <c r="W12" s="150">
        <f>'Raw Score Check'!N11</f>
        <v>0</v>
      </c>
      <c r="X12" s="89"/>
      <c r="Y12" s="154"/>
      <c r="AA12" s="73">
        <v>8</v>
      </c>
      <c r="AB12" s="145" t="s">
        <v>96</v>
      </c>
      <c r="AC12" s="92" t="s">
        <v>100</v>
      </c>
      <c r="AD12" s="93">
        <f>'Raw Score Check'!Q11</f>
        <v>0</v>
      </c>
      <c r="AE12" s="155"/>
      <c r="AF12" s="155"/>
    </row>
    <row r="13" spans="1:32" ht="32.25" customHeight="1">
      <c r="B13" s="73">
        <v>9</v>
      </c>
      <c r="C13" s="92" t="s">
        <v>40</v>
      </c>
      <c r="D13" s="92" t="s">
        <v>41</v>
      </c>
      <c r="E13" s="92">
        <f>'Raw Score Check'!H12</f>
        <v>0</v>
      </c>
      <c r="F13" s="134">
        <v>0</v>
      </c>
      <c r="G13" s="134"/>
      <c r="H13" s="134"/>
      <c r="I13" s="134"/>
      <c r="J13" s="93"/>
      <c r="K13" s="73">
        <v>9</v>
      </c>
      <c r="L13" s="92" t="s">
        <v>61</v>
      </c>
      <c r="M13" s="92" t="s">
        <v>64</v>
      </c>
      <c r="N13" s="92">
        <f>'Raw Score Check'!K12</f>
        <v>0</v>
      </c>
      <c r="O13" s="134"/>
      <c r="P13" s="134"/>
      <c r="Q13" s="134"/>
      <c r="R13" s="134">
        <v>1</v>
      </c>
      <c r="S13" s="93"/>
      <c r="T13" s="144">
        <v>9</v>
      </c>
      <c r="U13" s="145" t="s">
        <v>81</v>
      </c>
      <c r="V13" s="146" t="s">
        <v>88</v>
      </c>
      <c r="W13" s="147">
        <f>'Raw Score Check'!N12</f>
        <v>0</v>
      </c>
      <c r="X13" s="154"/>
      <c r="Y13" s="154"/>
      <c r="AA13" s="73">
        <v>9</v>
      </c>
      <c r="AB13" s="92" t="s">
        <v>96</v>
      </c>
      <c r="AC13" s="92" t="s">
        <v>97</v>
      </c>
      <c r="AD13" s="93">
        <f>'Raw Score Check'!Q12</f>
        <v>0</v>
      </c>
      <c r="AE13" s="155">
        <v>1</v>
      </c>
      <c r="AF13" s="155"/>
    </row>
    <row r="14" spans="1:32" ht="32.25" customHeight="1">
      <c r="B14" s="73">
        <v>10</v>
      </c>
      <c r="C14" s="92" t="s">
        <v>40</v>
      </c>
      <c r="D14" s="92" t="s">
        <v>41</v>
      </c>
      <c r="E14" s="92">
        <f>'Raw Score Check'!H13</f>
        <v>0</v>
      </c>
      <c r="F14" s="134">
        <v>0</v>
      </c>
      <c r="G14" s="134"/>
      <c r="H14" s="134"/>
      <c r="I14" s="134"/>
      <c r="J14" s="93"/>
      <c r="K14" s="73">
        <v>10</v>
      </c>
      <c r="L14" s="92" t="s">
        <v>61</v>
      </c>
      <c r="M14" s="92" t="s">
        <v>62</v>
      </c>
      <c r="N14" s="92">
        <f>'Raw Score Check'!K13</f>
        <v>0</v>
      </c>
      <c r="O14" s="134"/>
      <c r="P14" s="134">
        <v>1</v>
      </c>
      <c r="Q14" s="134"/>
      <c r="R14" s="134">
        <v>1</v>
      </c>
      <c r="S14" s="93"/>
      <c r="T14" s="144">
        <v>10</v>
      </c>
      <c r="U14" s="145" t="s">
        <v>71</v>
      </c>
      <c r="V14" s="149" t="s">
        <v>75</v>
      </c>
      <c r="W14" s="150">
        <f>'Raw Score Check'!N13</f>
        <v>0</v>
      </c>
      <c r="X14" s="89"/>
      <c r="Y14" s="154"/>
      <c r="AA14" s="73">
        <v>10</v>
      </c>
      <c r="AB14" s="145" t="s">
        <v>71</v>
      </c>
      <c r="AC14" s="92" t="s">
        <v>74</v>
      </c>
      <c r="AD14" s="93">
        <f>'Raw Score Check'!Q13</f>
        <v>0</v>
      </c>
      <c r="AE14" s="155">
        <v>1</v>
      </c>
      <c r="AF14" s="155"/>
    </row>
    <row r="15" spans="1:32" ht="32.25" customHeight="1">
      <c r="B15" s="73">
        <v>11</v>
      </c>
      <c r="C15" s="92" t="s">
        <v>52</v>
      </c>
      <c r="D15" s="92" t="s">
        <v>56</v>
      </c>
      <c r="E15" s="92">
        <f>'Raw Score Check'!H14</f>
        <v>0</v>
      </c>
      <c r="F15" s="134">
        <v>0</v>
      </c>
      <c r="G15" s="134"/>
      <c r="H15" s="134">
        <v>1</v>
      </c>
      <c r="I15" s="134"/>
      <c r="J15" s="93"/>
      <c r="K15" s="73">
        <v>11</v>
      </c>
      <c r="L15" s="92" t="s">
        <v>61</v>
      </c>
      <c r="M15" s="92" t="s">
        <v>62</v>
      </c>
      <c r="N15" s="92">
        <f>'Raw Score Check'!K14</f>
        <v>0</v>
      </c>
      <c r="O15" s="134"/>
      <c r="P15" s="134">
        <v>1</v>
      </c>
      <c r="Q15" s="134"/>
      <c r="R15" s="134">
        <v>1</v>
      </c>
      <c r="S15" s="93"/>
      <c r="T15" s="144">
        <v>11</v>
      </c>
      <c r="U15" s="145" t="s">
        <v>81</v>
      </c>
      <c r="V15" s="146" t="s">
        <v>90</v>
      </c>
      <c r="W15" s="147">
        <f>'Raw Score Check'!N14</f>
        <v>0</v>
      </c>
      <c r="X15" s="154"/>
      <c r="Y15" s="154"/>
      <c r="AA15" s="73">
        <v>11</v>
      </c>
      <c r="AB15" s="92" t="s">
        <v>71</v>
      </c>
      <c r="AC15" s="92" t="s">
        <v>78</v>
      </c>
      <c r="AD15" s="93">
        <f>'Raw Score Check'!Q14</f>
        <v>0</v>
      </c>
      <c r="AE15" s="155"/>
      <c r="AF15" s="155"/>
    </row>
    <row r="16" spans="1:32" ht="32.25" customHeight="1">
      <c r="B16" s="73">
        <v>12</v>
      </c>
      <c r="C16" s="92" t="s">
        <v>40</v>
      </c>
      <c r="D16" s="92" t="s">
        <v>41</v>
      </c>
      <c r="E16" s="92">
        <f>'Raw Score Check'!H15</f>
        <v>0</v>
      </c>
      <c r="F16" s="134">
        <v>0</v>
      </c>
      <c r="G16" s="134"/>
      <c r="H16" s="134">
        <v>1</v>
      </c>
      <c r="I16" s="134"/>
      <c r="J16" s="93"/>
      <c r="K16" s="73">
        <v>12</v>
      </c>
      <c r="L16" s="92" t="s">
        <v>65</v>
      </c>
      <c r="M16" s="92" t="s">
        <v>67</v>
      </c>
      <c r="N16" s="92">
        <f>'Raw Score Check'!K15</f>
        <v>0</v>
      </c>
      <c r="O16" s="134"/>
      <c r="P16" s="134"/>
      <c r="Q16" s="134"/>
      <c r="R16" s="134"/>
      <c r="S16" s="93"/>
      <c r="T16" s="144">
        <v>12</v>
      </c>
      <c r="U16" s="145" t="s">
        <v>81</v>
      </c>
      <c r="V16" s="149" t="s">
        <v>85</v>
      </c>
      <c r="W16" s="150">
        <f>'Raw Score Check'!N15</f>
        <v>0</v>
      </c>
      <c r="X16" s="89"/>
      <c r="Y16" s="154"/>
      <c r="AA16" s="73">
        <v>12</v>
      </c>
      <c r="AB16" s="145" t="s">
        <v>96</v>
      </c>
      <c r="AC16" s="92" t="s">
        <v>102</v>
      </c>
      <c r="AD16" s="93">
        <f>'Raw Score Check'!Q15</f>
        <v>0</v>
      </c>
      <c r="AE16" s="155"/>
      <c r="AF16" s="155">
        <v>1</v>
      </c>
    </row>
    <row r="17" spans="2:32" ht="32.25" customHeight="1">
      <c r="B17" s="73">
        <v>13</v>
      </c>
      <c r="C17" s="92" t="s">
        <v>40</v>
      </c>
      <c r="D17" s="92" t="s">
        <v>42</v>
      </c>
      <c r="E17" s="92">
        <f>'Raw Score Check'!H16</f>
        <v>0</v>
      </c>
      <c r="F17" s="134">
        <v>0</v>
      </c>
      <c r="G17" s="134"/>
      <c r="H17" s="134">
        <v>1</v>
      </c>
      <c r="I17" s="134"/>
      <c r="J17" s="93"/>
      <c r="K17" s="73">
        <v>13</v>
      </c>
      <c r="L17" s="92" t="s">
        <v>61</v>
      </c>
      <c r="M17" s="92" t="s">
        <v>64</v>
      </c>
      <c r="N17" s="92">
        <f>'Raw Score Check'!K16</f>
        <v>0</v>
      </c>
      <c r="O17" s="134"/>
      <c r="P17" s="134"/>
      <c r="Q17" s="134">
        <v>1</v>
      </c>
      <c r="R17" s="134"/>
      <c r="S17" s="93"/>
      <c r="T17" s="144">
        <v>13</v>
      </c>
      <c r="U17" s="145" t="s">
        <v>81</v>
      </c>
      <c r="V17" s="146" t="s">
        <v>82</v>
      </c>
      <c r="W17" s="147">
        <f>'Raw Score Check'!N16</f>
        <v>0</v>
      </c>
      <c r="X17" s="154"/>
      <c r="Y17" s="154"/>
      <c r="AA17" s="73">
        <v>13</v>
      </c>
      <c r="AB17" s="145" t="s">
        <v>71</v>
      </c>
      <c r="AC17" s="92" t="s">
        <v>73</v>
      </c>
      <c r="AD17" s="93">
        <f>'Raw Score Check'!Q16</f>
        <v>0</v>
      </c>
      <c r="AE17" s="155"/>
      <c r="AF17" s="155">
        <v>1</v>
      </c>
    </row>
    <row r="18" spans="2:32" ht="32.25" customHeight="1">
      <c r="B18" s="73">
        <v>14</v>
      </c>
      <c r="C18" s="92" t="s">
        <v>40</v>
      </c>
      <c r="D18" s="92" t="s">
        <v>46</v>
      </c>
      <c r="E18" s="92">
        <f>'Raw Score Check'!H17</f>
        <v>0</v>
      </c>
      <c r="F18" s="134">
        <v>1</v>
      </c>
      <c r="G18" s="134"/>
      <c r="H18" s="134">
        <v>1</v>
      </c>
      <c r="I18" s="134"/>
      <c r="J18" s="93"/>
      <c r="K18" s="73">
        <v>14</v>
      </c>
      <c r="L18" s="92" t="s">
        <v>65</v>
      </c>
      <c r="M18" s="92" t="s">
        <v>68</v>
      </c>
      <c r="N18" s="92">
        <f>'Raw Score Check'!K17</f>
        <v>0</v>
      </c>
      <c r="O18" s="134"/>
      <c r="P18" s="134"/>
      <c r="Q18" s="134"/>
      <c r="R18" s="134"/>
      <c r="S18" s="93"/>
      <c r="T18" s="144">
        <v>14</v>
      </c>
      <c r="U18" s="148" t="s">
        <v>71</v>
      </c>
      <c r="V18" s="149" t="s">
        <v>75</v>
      </c>
      <c r="W18" s="150">
        <f>'Raw Score Check'!N17</f>
        <v>0</v>
      </c>
      <c r="X18" s="89"/>
      <c r="Y18" s="154"/>
      <c r="AA18" s="73">
        <v>14</v>
      </c>
      <c r="AB18" s="92" t="s">
        <v>71</v>
      </c>
      <c r="AC18" s="92" t="s">
        <v>73</v>
      </c>
      <c r="AD18" s="93">
        <f>'Raw Score Check'!Q17</f>
        <v>0</v>
      </c>
      <c r="AE18" s="155"/>
      <c r="AF18" s="155">
        <v>1</v>
      </c>
    </row>
    <row r="19" spans="2:32" ht="32.25" customHeight="1">
      <c r="B19" s="73">
        <v>15</v>
      </c>
      <c r="C19" s="92" t="s">
        <v>52</v>
      </c>
      <c r="D19" s="92" t="s">
        <v>57</v>
      </c>
      <c r="E19" s="92">
        <f>'Raw Score Check'!H18</f>
        <v>0</v>
      </c>
      <c r="F19" s="134">
        <v>0</v>
      </c>
      <c r="G19" s="134"/>
      <c r="H19" s="134">
        <v>1</v>
      </c>
      <c r="I19" s="134"/>
      <c r="J19" s="93"/>
      <c r="K19" s="73">
        <v>15</v>
      </c>
      <c r="L19" s="92" t="s">
        <v>61</v>
      </c>
      <c r="M19" s="92" t="s">
        <v>64</v>
      </c>
      <c r="N19" s="92">
        <f>'Raw Score Check'!K18</f>
        <v>0</v>
      </c>
      <c r="O19" s="134">
        <v>1</v>
      </c>
      <c r="P19" s="134"/>
      <c r="Q19" s="134">
        <v>1</v>
      </c>
      <c r="R19" s="134"/>
      <c r="S19" s="93"/>
      <c r="T19" s="144">
        <v>15</v>
      </c>
      <c r="U19" s="145" t="s">
        <v>81</v>
      </c>
      <c r="V19" s="146" t="s">
        <v>88</v>
      </c>
      <c r="W19" s="147">
        <f>'Raw Score Check'!N18</f>
        <v>0</v>
      </c>
      <c r="X19" s="154"/>
      <c r="Y19" s="154"/>
      <c r="AA19" s="73">
        <v>15</v>
      </c>
      <c r="AB19" s="92" t="s">
        <v>96</v>
      </c>
      <c r="AC19" s="92" t="s">
        <v>104</v>
      </c>
      <c r="AD19" s="93">
        <f>'Raw Score Check'!Q18</f>
        <v>0</v>
      </c>
      <c r="AE19" s="155"/>
      <c r="AF19" s="155"/>
    </row>
    <row r="20" spans="2:32" ht="32.25" customHeight="1">
      <c r="B20" s="73">
        <v>16</v>
      </c>
      <c r="C20" s="92" t="s">
        <v>40</v>
      </c>
      <c r="D20" s="92" t="s">
        <v>43</v>
      </c>
      <c r="E20" s="92">
        <f>'Raw Score Check'!H19</f>
        <v>0</v>
      </c>
      <c r="F20" s="134">
        <v>0</v>
      </c>
      <c r="G20" s="134"/>
      <c r="H20" s="134">
        <v>1</v>
      </c>
      <c r="I20" s="134"/>
      <c r="J20" s="93"/>
      <c r="K20" s="73">
        <v>16</v>
      </c>
      <c r="L20" s="92" t="s">
        <v>61</v>
      </c>
      <c r="M20" s="92" t="s">
        <v>62</v>
      </c>
      <c r="N20" s="92">
        <f>'Raw Score Check'!K19</f>
        <v>0</v>
      </c>
      <c r="O20" s="134"/>
      <c r="P20" s="134">
        <v>1</v>
      </c>
      <c r="Q20" s="134">
        <v>1</v>
      </c>
      <c r="R20" s="134"/>
      <c r="S20" s="93"/>
      <c r="T20" s="144">
        <v>16</v>
      </c>
      <c r="U20" s="145" t="s">
        <v>81</v>
      </c>
      <c r="V20" s="149" t="s">
        <v>88</v>
      </c>
      <c r="W20" s="150">
        <f>'Raw Score Check'!N19</f>
        <v>0</v>
      </c>
      <c r="X20" s="89"/>
      <c r="Y20" s="154"/>
      <c r="AA20" s="73">
        <v>16</v>
      </c>
      <c r="AB20" s="92" t="s">
        <v>107</v>
      </c>
      <c r="AC20" s="92" t="s">
        <v>110</v>
      </c>
      <c r="AD20" s="93">
        <f>'Raw Score Check'!Q19</f>
        <v>0</v>
      </c>
      <c r="AE20" s="155"/>
      <c r="AF20" s="155"/>
    </row>
    <row r="21" spans="2:32" ht="43.5" customHeight="1">
      <c r="B21" s="73">
        <v>17</v>
      </c>
      <c r="C21" s="92" t="s">
        <v>40</v>
      </c>
      <c r="D21" s="92" t="s">
        <v>42</v>
      </c>
      <c r="E21" s="92">
        <f>'Raw Score Check'!H20</f>
        <v>0</v>
      </c>
      <c r="F21" s="134">
        <v>0</v>
      </c>
      <c r="G21" s="134"/>
      <c r="H21" s="134">
        <v>1</v>
      </c>
      <c r="I21" s="134"/>
      <c r="J21" s="93"/>
      <c r="K21" s="73">
        <v>17</v>
      </c>
      <c r="L21" s="92" t="s">
        <v>65</v>
      </c>
      <c r="M21" s="92" t="s">
        <v>68</v>
      </c>
      <c r="N21" s="92">
        <f>'Raw Score Check'!K20</f>
        <v>0</v>
      </c>
      <c r="O21" s="134"/>
      <c r="P21" s="134"/>
      <c r="Q21" s="134"/>
      <c r="R21" s="134"/>
      <c r="S21" s="93"/>
      <c r="T21" s="144">
        <v>17</v>
      </c>
      <c r="U21" s="145" t="s">
        <v>71</v>
      </c>
      <c r="V21" s="146" t="s">
        <v>72</v>
      </c>
      <c r="W21" s="147">
        <f>'Raw Score Check'!N20</f>
        <v>0</v>
      </c>
      <c r="X21" s="154"/>
      <c r="Y21" s="154"/>
      <c r="AA21" s="73">
        <v>17</v>
      </c>
      <c r="AB21" s="92" t="s">
        <v>81</v>
      </c>
      <c r="AC21" s="92" t="s">
        <v>83</v>
      </c>
      <c r="AD21" s="93">
        <f>'Raw Score Check'!Q20</f>
        <v>0</v>
      </c>
      <c r="AE21" s="155"/>
      <c r="AF21" s="155"/>
    </row>
    <row r="22" spans="2:32" ht="32.25" customHeight="1">
      <c r="B22" s="73">
        <v>18</v>
      </c>
      <c r="C22" s="92" t="s">
        <v>40</v>
      </c>
      <c r="D22" s="92" t="s">
        <v>46</v>
      </c>
      <c r="E22" s="92">
        <f>'Raw Score Check'!H21</f>
        <v>0</v>
      </c>
      <c r="F22" s="134">
        <v>1</v>
      </c>
      <c r="G22" s="134"/>
      <c r="H22" s="134">
        <v>1</v>
      </c>
      <c r="I22" s="134"/>
      <c r="J22" s="93"/>
      <c r="K22" s="73">
        <v>18</v>
      </c>
      <c r="L22" s="92" t="s">
        <v>61</v>
      </c>
      <c r="M22" s="92" t="s">
        <v>62</v>
      </c>
      <c r="N22" s="92">
        <f>'Raw Score Check'!K21</f>
        <v>0</v>
      </c>
      <c r="O22" s="134"/>
      <c r="P22" s="134">
        <v>1</v>
      </c>
      <c r="Q22" s="134">
        <v>1</v>
      </c>
      <c r="R22" s="134"/>
      <c r="S22" s="93"/>
      <c r="T22" s="144">
        <v>18</v>
      </c>
      <c r="U22" s="145" t="s">
        <v>107</v>
      </c>
      <c r="V22" s="149" t="s">
        <v>110</v>
      </c>
      <c r="W22" s="150">
        <f>'Raw Score Check'!N21</f>
        <v>0</v>
      </c>
      <c r="X22" s="89"/>
      <c r="Y22" s="154"/>
      <c r="AA22" s="73">
        <v>18</v>
      </c>
      <c r="AB22" s="92" t="s">
        <v>71</v>
      </c>
      <c r="AC22" s="92" t="s">
        <v>75</v>
      </c>
      <c r="AD22" s="93">
        <f>'Raw Score Check'!Q21</f>
        <v>0</v>
      </c>
      <c r="AE22" s="155"/>
      <c r="AF22" s="155"/>
    </row>
    <row r="23" spans="2:32" ht="32.25" customHeight="1">
      <c r="B23" s="73">
        <v>19</v>
      </c>
      <c r="C23" s="92" t="s">
        <v>58</v>
      </c>
      <c r="D23" s="92" t="s">
        <v>60</v>
      </c>
      <c r="E23" s="92">
        <f>'Raw Score Check'!H22</f>
        <v>0</v>
      </c>
      <c r="F23" s="134">
        <v>0</v>
      </c>
      <c r="G23" s="134"/>
      <c r="H23" s="134">
        <v>1</v>
      </c>
      <c r="I23" s="134"/>
      <c r="J23" s="93"/>
      <c r="K23" s="73">
        <v>19</v>
      </c>
      <c r="L23" s="92" t="s">
        <v>65</v>
      </c>
      <c r="M23" s="92" t="s">
        <v>67</v>
      </c>
      <c r="N23" s="92">
        <f>'Raw Score Check'!K22</f>
        <v>0</v>
      </c>
      <c r="O23" s="134"/>
      <c r="P23" s="134"/>
      <c r="Q23" s="134"/>
      <c r="R23" s="134"/>
      <c r="S23" s="93"/>
      <c r="T23" s="144">
        <v>19</v>
      </c>
      <c r="U23" s="145" t="s">
        <v>71</v>
      </c>
      <c r="V23" s="146" t="s">
        <v>80</v>
      </c>
      <c r="W23" s="147">
        <f>'Raw Score Check'!N22</f>
        <v>0</v>
      </c>
      <c r="X23" s="154"/>
      <c r="Y23" s="154"/>
      <c r="AA23" s="73">
        <v>19</v>
      </c>
      <c r="AB23" s="92" t="s">
        <v>71</v>
      </c>
      <c r="AC23" s="92" t="s">
        <v>74</v>
      </c>
      <c r="AD23" s="93">
        <f>'Raw Score Check'!Q22</f>
        <v>0</v>
      </c>
      <c r="AE23" s="155"/>
      <c r="AF23" s="155"/>
    </row>
    <row r="24" spans="2:32" ht="32.25" customHeight="1" thickBot="1">
      <c r="B24" s="73">
        <v>20</v>
      </c>
      <c r="C24" s="92" t="s">
        <v>58</v>
      </c>
      <c r="D24" s="92" t="s">
        <v>60</v>
      </c>
      <c r="E24" s="92">
        <f>'Raw Score Check'!H23</f>
        <v>0</v>
      </c>
      <c r="F24" s="134">
        <v>0</v>
      </c>
      <c r="G24" s="134">
        <v>1</v>
      </c>
      <c r="H24" s="134">
        <v>1</v>
      </c>
      <c r="I24" s="134"/>
      <c r="J24" s="93"/>
      <c r="K24" s="73">
        <v>20</v>
      </c>
      <c r="L24" s="92" t="s">
        <v>61</v>
      </c>
      <c r="M24" s="92" t="s">
        <v>64</v>
      </c>
      <c r="N24" s="92">
        <f>'Raw Score Check'!K23</f>
        <v>0</v>
      </c>
      <c r="O24" s="134">
        <v>1</v>
      </c>
      <c r="P24" s="134"/>
      <c r="Q24" s="134">
        <v>1</v>
      </c>
      <c r="R24" s="134"/>
      <c r="S24" s="93"/>
      <c r="T24" s="151">
        <v>20</v>
      </c>
      <c r="U24" s="152" t="s">
        <v>107</v>
      </c>
      <c r="V24" s="130" t="s">
        <v>112</v>
      </c>
      <c r="W24" s="131">
        <f>'Raw Score Check'!N23</f>
        <v>0</v>
      </c>
      <c r="X24" s="89"/>
      <c r="Y24" s="154"/>
      <c r="AA24" s="73">
        <v>20</v>
      </c>
      <c r="AB24" s="92" t="s">
        <v>81</v>
      </c>
      <c r="AC24" s="92" t="s">
        <v>82</v>
      </c>
      <c r="AD24" s="93">
        <f>'Raw Score Check'!Q23</f>
        <v>0</v>
      </c>
      <c r="AE24" s="155"/>
      <c r="AF24" s="155"/>
    </row>
    <row r="25" spans="2:32" ht="32.25" customHeight="1">
      <c r="B25" s="73">
        <v>21</v>
      </c>
      <c r="C25" s="92" t="s">
        <v>58</v>
      </c>
      <c r="D25" s="92" t="s">
        <v>60</v>
      </c>
      <c r="E25" s="92">
        <f>'Raw Score Check'!H24</f>
        <v>0</v>
      </c>
      <c r="F25" s="134">
        <v>0</v>
      </c>
      <c r="G25" s="134">
        <v>1</v>
      </c>
      <c r="H25" s="134">
        <v>1</v>
      </c>
      <c r="I25" s="134"/>
      <c r="J25" s="93"/>
      <c r="K25" s="73">
        <v>21</v>
      </c>
      <c r="L25" s="92" t="s">
        <v>65</v>
      </c>
      <c r="M25" s="92" t="s">
        <v>67</v>
      </c>
      <c r="N25" s="92">
        <f>'Raw Score Check'!K24</f>
        <v>0</v>
      </c>
      <c r="O25" s="134"/>
      <c r="P25" s="134"/>
      <c r="Q25" s="134"/>
      <c r="R25" s="134"/>
      <c r="S25" s="93"/>
      <c r="U25" s="92"/>
      <c r="V25" s="92"/>
      <c r="W25" s="92"/>
      <c r="X25" s="92"/>
      <c r="Y25" s="92"/>
      <c r="AA25" s="73">
        <v>21</v>
      </c>
      <c r="AB25" s="145" t="s">
        <v>96</v>
      </c>
      <c r="AC25" s="92" t="s">
        <v>106</v>
      </c>
      <c r="AD25" s="93">
        <f>'Raw Score Check'!Q24</f>
        <v>0</v>
      </c>
      <c r="AE25" s="155"/>
      <c r="AF25" s="155">
        <v>1</v>
      </c>
    </row>
    <row r="26" spans="2:32" ht="32.25" customHeight="1">
      <c r="B26" s="73">
        <v>22</v>
      </c>
      <c r="C26" s="92" t="s">
        <v>52</v>
      </c>
      <c r="D26" s="92" t="s">
        <v>56</v>
      </c>
      <c r="E26" s="92">
        <f>'Raw Score Check'!H25</f>
        <v>0</v>
      </c>
      <c r="F26" s="134">
        <v>0</v>
      </c>
      <c r="G26" s="134"/>
      <c r="H26" s="134"/>
      <c r="I26" s="134">
        <v>1</v>
      </c>
      <c r="J26" s="93"/>
      <c r="K26" s="73">
        <v>22</v>
      </c>
      <c r="L26" s="92" t="s">
        <v>61</v>
      </c>
      <c r="M26" s="92" t="s">
        <v>63</v>
      </c>
      <c r="N26" s="92">
        <f>'Raw Score Check'!K25</f>
        <v>0</v>
      </c>
      <c r="O26" s="134"/>
      <c r="P26" s="134"/>
      <c r="Q26" s="134">
        <v>1</v>
      </c>
      <c r="R26" s="134"/>
      <c r="S26" s="93"/>
      <c r="U26" s="92">
        <f>COUNTIF(Table455458[Category], "Passport to Advanced Mathematics")</f>
        <v>9</v>
      </c>
      <c r="V26" s="92"/>
      <c r="W26" s="92"/>
      <c r="X26" s="92"/>
      <c r="Y26" s="92"/>
      <c r="AA26" s="73">
        <v>22</v>
      </c>
      <c r="AB26" s="92" t="s">
        <v>96</v>
      </c>
      <c r="AC26" s="92" t="s">
        <v>105</v>
      </c>
      <c r="AD26" s="93">
        <f>'Raw Score Check'!Q25</f>
        <v>0</v>
      </c>
      <c r="AE26" s="155">
        <v>1</v>
      </c>
      <c r="AF26" s="155"/>
    </row>
    <row r="27" spans="2:32" ht="32.25" customHeight="1">
      <c r="B27" s="73">
        <v>23</v>
      </c>
      <c r="C27" s="92" t="s">
        <v>40</v>
      </c>
      <c r="D27" s="92" t="s">
        <v>41</v>
      </c>
      <c r="E27" s="92">
        <f>'Raw Score Check'!H26</f>
        <v>0</v>
      </c>
      <c r="F27" s="134">
        <v>0</v>
      </c>
      <c r="G27" s="134">
        <v>1</v>
      </c>
      <c r="H27" s="134"/>
      <c r="I27" s="134">
        <v>1</v>
      </c>
      <c r="J27" s="93"/>
      <c r="K27" s="73">
        <v>23</v>
      </c>
      <c r="L27" s="92" t="s">
        <v>61</v>
      </c>
      <c r="M27" s="92" t="s">
        <v>62</v>
      </c>
      <c r="N27" s="92">
        <f>'Raw Score Check'!K26</f>
        <v>0</v>
      </c>
      <c r="O27" s="134">
        <v>1</v>
      </c>
      <c r="P27" s="134"/>
      <c r="Q27" s="134"/>
      <c r="R27" s="134"/>
      <c r="S27" s="93"/>
      <c r="U27" s="92"/>
      <c r="V27" s="92"/>
      <c r="W27" s="92"/>
      <c r="X27" s="92"/>
      <c r="Y27" s="92"/>
      <c r="AA27" s="73">
        <v>23</v>
      </c>
      <c r="AB27" s="145" t="s">
        <v>96</v>
      </c>
      <c r="AC27" s="92" t="s">
        <v>102</v>
      </c>
      <c r="AD27" s="93">
        <f>'Raw Score Check'!Q26</f>
        <v>0</v>
      </c>
      <c r="AE27" s="155"/>
      <c r="AF27" s="155">
        <v>1</v>
      </c>
    </row>
    <row r="28" spans="2:32" ht="32.25" customHeight="1">
      <c r="B28" s="73">
        <v>24</v>
      </c>
      <c r="C28" s="92" t="s">
        <v>40</v>
      </c>
      <c r="D28" s="92" t="s">
        <v>41</v>
      </c>
      <c r="E28" s="92">
        <f>'Raw Score Check'!H27</f>
        <v>0</v>
      </c>
      <c r="F28" s="134">
        <v>0</v>
      </c>
      <c r="G28" s="134"/>
      <c r="H28" s="134"/>
      <c r="I28" s="134">
        <v>1</v>
      </c>
      <c r="J28" s="93"/>
      <c r="K28" s="73">
        <v>24</v>
      </c>
      <c r="L28" s="92" t="s">
        <v>61</v>
      </c>
      <c r="M28" s="92" t="s">
        <v>64</v>
      </c>
      <c r="N28" s="92">
        <f>'Raw Score Check'!K27</f>
        <v>0</v>
      </c>
      <c r="O28" s="134">
        <v>1</v>
      </c>
      <c r="P28" s="134"/>
      <c r="Q28" s="134"/>
      <c r="R28" s="134"/>
      <c r="S28" s="93"/>
      <c r="U28" s="92"/>
      <c r="V28" s="92"/>
      <c r="W28" s="92"/>
      <c r="X28" s="92"/>
      <c r="Y28" s="92"/>
      <c r="AA28" s="73">
        <v>24</v>
      </c>
      <c r="AB28" s="145" t="s">
        <v>96</v>
      </c>
      <c r="AC28" s="92" t="s">
        <v>98</v>
      </c>
      <c r="AD28" s="93">
        <f>'Raw Score Check'!Q27</f>
        <v>0</v>
      </c>
      <c r="AE28" s="155"/>
      <c r="AF28" s="155"/>
    </row>
    <row r="29" spans="2:32" ht="32.25" customHeight="1">
      <c r="B29" s="73">
        <v>25</v>
      </c>
      <c r="C29" s="92" t="s">
        <v>40</v>
      </c>
      <c r="D29" s="92" t="s">
        <v>41</v>
      </c>
      <c r="E29" s="92">
        <f>'Raw Score Check'!H28</f>
        <v>0</v>
      </c>
      <c r="F29" s="134">
        <v>0</v>
      </c>
      <c r="G29" s="134"/>
      <c r="H29" s="134"/>
      <c r="I29" s="134">
        <v>1</v>
      </c>
      <c r="J29" s="93"/>
      <c r="K29" s="73">
        <v>25</v>
      </c>
      <c r="L29" s="92" t="s">
        <v>61</v>
      </c>
      <c r="M29" s="92" t="s">
        <v>64</v>
      </c>
      <c r="N29" s="92">
        <f>'Raw Score Check'!K28</f>
        <v>0</v>
      </c>
      <c r="O29" s="134"/>
      <c r="P29" s="134"/>
      <c r="Q29" s="134"/>
      <c r="R29" s="134"/>
      <c r="S29" s="93"/>
      <c r="U29" s="92"/>
      <c r="V29" s="92"/>
      <c r="W29" s="92"/>
      <c r="X29" s="92"/>
      <c r="Y29" s="92"/>
      <c r="AA29" s="73">
        <v>25</v>
      </c>
      <c r="AB29" s="145" t="s">
        <v>71</v>
      </c>
      <c r="AC29" s="92" t="s">
        <v>73</v>
      </c>
      <c r="AD29" s="93">
        <f>'Raw Score Check'!Q28</f>
        <v>0</v>
      </c>
      <c r="AE29" s="155"/>
      <c r="AF29" s="155"/>
    </row>
    <row r="30" spans="2:32" ht="32.25" customHeight="1">
      <c r="B30" s="73">
        <v>26</v>
      </c>
      <c r="C30" s="92" t="s">
        <v>40</v>
      </c>
      <c r="D30" s="92" t="s">
        <v>46</v>
      </c>
      <c r="E30" s="92">
        <f>'Raw Score Check'!H29</f>
        <v>0</v>
      </c>
      <c r="F30" s="134">
        <v>1</v>
      </c>
      <c r="G30" s="134"/>
      <c r="H30" s="134"/>
      <c r="I30" s="134">
        <v>1</v>
      </c>
      <c r="J30" s="93"/>
      <c r="K30" s="73">
        <v>26</v>
      </c>
      <c r="L30" s="92" t="s">
        <v>61</v>
      </c>
      <c r="M30" s="92" t="s">
        <v>62</v>
      </c>
      <c r="N30" s="92">
        <f>'Raw Score Check'!K29</f>
        <v>0</v>
      </c>
      <c r="O30" s="134"/>
      <c r="P30" s="134">
        <v>1</v>
      </c>
      <c r="Q30" s="134"/>
      <c r="R30" s="134"/>
      <c r="S30" s="93"/>
      <c r="U30" s="92"/>
      <c r="V30" s="92"/>
      <c r="W30" s="92"/>
      <c r="X30" s="92"/>
      <c r="Y30" s="92"/>
      <c r="AA30" s="73">
        <v>26</v>
      </c>
      <c r="AB30" s="145" t="s">
        <v>96</v>
      </c>
      <c r="AC30" s="92" t="s">
        <v>97</v>
      </c>
      <c r="AD30" s="93">
        <f>'Raw Score Check'!Q29</f>
        <v>0</v>
      </c>
      <c r="AE30" s="155"/>
      <c r="AF30" s="155">
        <v>1</v>
      </c>
    </row>
    <row r="31" spans="2:32" ht="32.25" customHeight="1">
      <c r="B31" s="73">
        <v>27</v>
      </c>
      <c r="C31" s="92" t="s">
        <v>52</v>
      </c>
      <c r="D31" s="92" t="s">
        <v>57</v>
      </c>
      <c r="E31" s="92">
        <f>'Raw Score Check'!H30</f>
        <v>0</v>
      </c>
      <c r="F31" s="134">
        <v>0</v>
      </c>
      <c r="G31" s="134"/>
      <c r="H31" s="134"/>
      <c r="I31" s="134">
        <v>1</v>
      </c>
      <c r="J31" s="93"/>
      <c r="K31" s="73">
        <v>27</v>
      </c>
      <c r="L31" s="92" t="s">
        <v>65</v>
      </c>
      <c r="M31" s="92" t="s">
        <v>67</v>
      </c>
      <c r="N31" s="92">
        <f>'Raw Score Check'!K30</f>
        <v>0</v>
      </c>
      <c r="O31" s="134"/>
      <c r="P31" s="134"/>
      <c r="Q31" s="134"/>
      <c r="R31" s="134"/>
      <c r="S31" s="93"/>
      <c r="U31" s="92"/>
      <c r="V31" s="92"/>
      <c r="W31" s="92"/>
      <c r="X31" s="92"/>
      <c r="Y31" s="92"/>
      <c r="AA31" s="73">
        <v>27</v>
      </c>
      <c r="AB31" s="92" t="s">
        <v>107</v>
      </c>
      <c r="AC31" s="92" t="s">
        <v>114</v>
      </c>
      <c r="AD31" s="93">
        <f>'Raw Score Check'!Q30</f>
        <v>0</v>
      </c>
      <c r="AE31" s="155"/>
      <c r="AF31" s="155"/>
    </row>
    <row r="32" spans="2:32" ht="32.25" customHeight="1">
      <c r="B32" s="73">
        <v>28</v>
      </c>
      <c r="C32" s="92" t="s">
        <v>40</v>
      </c>
      <c r="D32" s="92" t="s">
        <v>42</v>
      </c>
      <c r="E32" s="92">
        <f>'Raw Score Check'!H31</f>
        <v>0</v>
      </c>
      <c r="F32" s="134">
        <v>0</v>
      </c>
      <c r="G32" s="134">
        <v>1</v>
      </c>
      <c r="H32" s="134"/>
      <c r="I32" s="134">
        <v>1</v>
      </c>
      <c r="J32" s="93"/>
      <c r="K32" s="73">
        <v>28</v>
      </c>
      <c r="L32" s="92" t="s">
        <v>65</v>
      </c>
      <c r="M32" s="92" t="s">
        <v>68</v>
      </c>
      <c r="N32" s="92">
        <f>'Raw Score Check'!K31</f>
        <v>0</v>
      </c>
      <c r="O32" s="134"/>
      <c r="P32" s="134"/>
      <c r="Q32" s="134"/>
      <c r="R32" s="134"/>
      <c r="S32" s="93"/>
      <c r="U32" s="92"/>
      <c r="V32" s="92"/>
      <c r="W32" s="92"/>
      <c r="X32" s="92"/>
      <c r="Y32" s="92"/>
      <c r="AA32" s="73">
        <v>28</v>
      </c>
      <c r="AB32" s="145" t="s">
        <v>71</v>
      </c>
      <c r="AC32" s="92" t="s">
        <v>72</v>
      </c>
      <c r="AD32" s="93">
        <f>'Raw Score Check'!Q31</f>
        <v>0</v>
      </c>
      <c r="AE32" s="155"/>
      <c r="AF32" s="155"/>
    </row>
    <row r="33" spans="2:32" ht="32.25" customHeight="1">
      <c r="B33" s="73">
        <v>29</v>
      </c>
      <c r="C33" s="92" t="s">
        <v>52</v>
      </c>
      <c r="D33" s="92" t="s">
        <v>54</v>
      </c>
      <c r="E33" s="92">
        <f>'Raw Score Check'!H32</f>
        <v>0</v>
      </c>
      <c r="F33" s="134">
        <v>0</v>
      </c>
      <c r="G33" s="134"/>
      <c r="H33" s="134"/>
      <c r="I33" s="134">
        <v>1</v>
      </c>
      <c r="J33" s="93"/>
      <c r="K33" s="73">
        <v>29</v>
      </c>
      <c r="L33" s="92" t="s">
        <v>65</v>
      </c>
      <c r="M33" s="92" t="s">
        <v>68</v>
      </c>
      <c r="N33" s="92">
        <f>'Raw Score Check'!K32</f>
        <v>0</v>
      </c>
      <c r="O33" s="134"/>
      <c r="P33" s="134"/>
      <c r="Q33" s="134"/>
      <c r="R33" s="134"/>
      <c r="S33" s="93"/>
      <c r="U33" s="92"/>
      <c r="V33" s="92"/>
      <c r="W33" s="92"/>
      <c r="X33" s="92"/>
      <c r="Y33" s="92"/>
      <c r="AA33" s="73">
        <v>29</v>
      </c>
      <c r="AB33" s="92" t="s">
        <v>81</v>
      </c>
      <c r="AC33" s="92" t="s">
        <v>87</v>
      </c>
      <c r="AD33" s="93">
        <f>'Raw Score Check'!Q32</f>
        <v>0</v>
      </c>
      <c r="AE33" s="155"/>
      <c r="AF33" s="155">
        <v>1</v>
      </c>
    </row>
    <row r="34" spans="2:32" ht="32.25" customHeight="1">
      <c r="B34" s="73">
        <v>30</v>
      </c>
      <c r="C34" s="92" t="s">
        <v>52</v>
      </c>
      <c r="D34" s="92" t="s">
        <v>53</v>
      </c>
      <c r="E34" s="92">
        <f>'Raw Score Check'!H33</f>
        <v>0</v>
      </c>
      <c r="F34" s="134">
        <v>1</v>
      </c>
      <c r="G34" s="134"/>
      <c r="H34" s="134"/>
      <c r="I34" s="134">
        <v>1</v>
      </c>
      <c r="J34" s="93"/>
      <c r="K34" s="73">
        <v>30</v>
      </c>
      <c r="L34" s="92" t="s">
        <v>65</v>
      </c>
      <c r="M34" s="92" t="s">
        <v>66</v>
      </c>
      <c r="N34" s="92">
        <f>'Raw Score Check'!K33</f>
        <v>0</v>
      </c>
      <c r="O34" s="134"/>
      <c r="P34" s="134"/>
      <c r="Q34" s="134"/>
      <c r="R34" s="134"/>
      <c r="S34" s="93"/>
      <c r="U34" s="92"/>
      <c r="V34" s="92"/>
      <c r="W34" s="92"/>
      <c r="X34" s="92"/>
      <c r="Y34" s="92"/>
      <c r="AA34" s="73">
        <v>30</v>
      </c>
      <c r="AB34" s="145" t="s">
        <v>96</v>
      </c>
      <c r="AC34" s="92" t="s">
        <v>101</v>
      </c>
      <c r="AD34" s="93">
        <f>'Raw Score Check'!Q33</f>
        <v>0</v>
      </c>
      <c r="AE34" s="155"/>
      <c r="AF34" s="155"/>
    </row>
    <row r="35" spans="2:32" ht="32.25" customHeight="1">
      <c r="B35" s="73">
        <v>31</v>
      </c>
      <c r="C35" s="92" t="s">
        <v>52</v>
      </c>
      <c r="D35" s="92" t="s">
        <v>57</v>
      </c>
      <c r="E35" s="92">
        <f>'Raw Score Check'!H34</f>
        <v>0</v>
      </c>
      <c r="F35" s="134">
        <v>0</v>
      </c>
      <c r="G35" s="134"/>
      <c r="H35" s="134"/>
      <c r="I35" s="134">
        <v>1</v>
      </c>
      <c r="J35" s="93"/>
      <c r="K35" s="73">
        <v>31</v>
      </c>
      <c r="L35" s="92" t="s">
        <v>61</v>
      </c>
      <c r="M35" s="92" t="s">
        <v>64</v>
      </c>
      <c r="N35" s="92">
        <f>'Raw Score Check'!K34</f>
        <v>0</v>
      </c>
      <c r="O35" s="134"/>
      <c r="P35" s="134"/>
      <c r="Q35" s="134"/>
      <c r="R35" s="134"/>
      <c r="S35" s="93"/>
      <c r="U35" s="92"/>
      <c r="V35" s="92"/>
      <c r="W35" s="92"/>
      <c r="X35" s="92"/>
      <c r="Y35" s="92"/>
      <c r="AA35" s="73">
        <v>31</v>
      </c>
      <c r="AB35" s="92" t="s">
        <v>81</v>
      </c>
      <c r="AC35" s="92" t="s">
        <v>94</v>
      </c>
      <c r="AD35" s="93">
        <f>'Raw Score Check'!Q34</f>
        <v>0</v>
      </c>
      <c r="AE35" s="155"/>
      <c r="AF35" s="155"/>
    </row>
    <row r="36" spans="2:32" ht="32.25" customHeight="1">
      <c r="B36" s="73">
        <v>32</v>
      </c>
      <c r="C36" s="92" t="s">
        <v>40</v>
      </c>
      <c r="D36" s="92" t="s">
        <v>42</v>
      </c>
      <c r="E36" s="92">
        <f>'Raw Score Check'!H35</f>
        <v>0</v>
      </c>
      <c r="F36" s="134">
        <v>0</v>
      </c>
      <c r="G36" s="134"/>
      <c r="H36" s="134"/>
      <c r="I36" s="134">
        <v>1</v>
      </c>
      <c r="J36" s="93"/>
      <c r="K36" s="73">
        <v>32</v>
      </c>
      <c r="L36" s="92" t="s">
        <v>61</v>
      </c>
      <c r="M36" s="92" t="s">
        <v>62</v>
      </c>
      <c r="N36" s="92">
        <f>'Raw Score Check'!K35</f>
        <v>0</v>
      </c>
      <c r="O36" s="134"/>
      <c r="P36" s="134">
        <v>1</v>
      </c>
      <c r="Q36" s="134"/>
      <c r="R36" s="134"/>
      <c r="S36" s="93"/>
      <c r="U36" s="92"/>
      <c r="V36" s="92"/>
      <c r="W36" s="92"/>
      <c r="X36" s="92"/>
      <c r="Y36" s="92"/>
      <c r="AA36" s="73">
        <v>32</v>
      </c>
      <c r="AB36" s="92" t="s">
        <v>71</v>
      </c>
      <c r="AC36" s="92" t="s">
        <v>72</v>
      </c>
      <c r="AD36" s="93">
        <f>'Raw Score Check'!Q35</f>
        <v>0</v>
      </c>
      <c r="AE36" s="155"/>
      <c r="AF36" s="155"/>
    </row>
    <row r="37" spans="2:32" ht="32.25" customHeight="1">
      <c r="B37" s="73">
        <v>33</v>
      </c>
      <c r="C37" s="92" t="s">
        <v>40</v>
      </c>
      <c r="D37" s="92" t="s">
        <v>41</v>
      </c>
      <c r="E37" s="92">
        <f>'Raw Score Check'!H36</f>
        <v>0</v>
      </c>
      <c r="F37" s="134">
        <v>0</v>
      </c>
      <c r="G37" s="134"/>
      <c r="H37" s="134">
        <v>1</v>
      </c>
      <c r="I37" s="134"/>
      <c r="J37" s="93"/>
      <c r="K37" s="73">
        <v>33</v>
      </c>
      <c r="L37" s="92" t="s">
        <v>65</v>
      </c>
      <c r="M37" s="92" t="s">
        <v>67</v>
      </c>
      <c r="N37" s="92">
        <f>'Raw Score Check'!K36</f>
        <v>0</v>
      </c>
      <c r="O37" s="134"/>
      <c r="P37" s="134"/>
      <c r="Q37" s="134"/>
      <c r="R37" s="134"/>
      <c r="S37" s="93"/>
      <c r="U37" s="92"/>
      <c r="V37" s="92"/>
      <c r="W37" s="92"/>
      <c r="X37" s="92"/>
      <c r="Y37" s="92"/>
      <c r="AA37" s="73">
        <v>33</v>
      </c>
      <c r="AB37" s="145" t="s">
        <v>107</v>
      </c>
      <c r="AC37" s="92" t="s">
        <v>108</v>
      </c>
      <c r="AD37" s="93">
        <f>'Raw Score Check'!Q36</f>
        <v>0</v>
      </c>
      <c r="AE37" s="155"/>
      <c r="AF37" s="155"/>
    </row>
    <row r="38" spans="2:32" ht="32.25" customHeight="1">
      <c r="B38" s="73">
        <v>34</v>
      </c>
      <c r="C38" s="92" t="s">
        <v>40</v>
      </c>
      <c r="D38" s="92" t="s">
        <v>42</v>
      </c>
      <c r="E38" s="92">
        <f>'Raw Score Check'!H37</f>
        <v>0</v>
      </c>
      <c r="F38" s="134">
        <v>0</v>
      </c>
      <c r="G38" s="134">
        <v>1</v>
      </c>
      <c r="H38" s="134">
        <v>1</v>
      </c>
      <c r="I38" s="134"/>
      <c r="J38" s="93"/>
      <c r="K38" s="73">
        <v>34</v>
      </c>
      <c r="L38" s="92" t="s">
        <v>61</v>
      </c>
      <c r="M38" s="92" t="s">
        <v>62</v>
      </c>
      <c r="N38" s="92">
        <f>'Raw Score Check'!K37</f>
        <v>0</v>
      </c>
      <c r="O38" s="134">
        <v>1</v>
      </c>
      <c r="P38" s="134"/>
      <c r="Q38" s="134"/>
      <c r="R38" s="134"/>
      <c r="S38" s="93"/>
      <c r="U38" s="92"/>
      <c r="V38" s="92"/>
      <c r="W38" s="92"/>
      <c r="X38" s="92"/>
      <c r="Y38" s="92"/>
      <c r="AA38" s="73">
        <v>34</v>
      </c>
      <c r="AB38" s="145" t="s">
        <v>81</v>
      </c>
      <c r="AC38" s="92" t="s">
        <v>92</v>
      </c>
      <c r="AD38" s="93">
        <f>'Raw Score Check'!Q37</f>
        <v>0</v>
      </c>
      <c r="AE38" s="155"/>
      <c r="AF38" s="155"/>
    </row>
    <row r="39" spans="2:32" ht="32.25" customHeight="1">
      <c r="B39" s="73">
        <v>35</v>
      </c>
      <c r="C39" s="92" t="s">
        <v>40</v>
      </c>
      <c r="D39" s="92" t="s">
        <v>46</v>
      </c>
      <c r="E39" s="92">
        <f>'Raw Score Check'!H38</f>
        <v>0</v>
      </c>
      <c r="F39" s="134">
        <v>1</v>
      </c>
      <c r="G39" s="134"/>
      <c r="H39" s="134">
        <v>1</v>
      </c>
      <c r="I39" s="134"/>
      <c r="J39" s="93"/>
      <c r="K39" s="73">
        <v>35</v>
      </c>
      <c r="L39" s="92" t="s">
        <v>61</v>
      </c>
      <c r="M39" s="92" t="s">
        <v>64</v>
      </c>
      <c r="N39" s="92">
        <f>'Raw Score Check'!K38</f>
        <v>0</v>
      </c>
      <c r="O39" s="134">
        <v>1</v>
      </c>
      <c r="P39" s="134"/>
      <c r="Q39" s="134"/>
      <c r="R39" s="134"/>
      <c r="S39" s="93"/>
      <c r="U39" s="92"/>
      <c r="V39" s="92"/>
      <c r="W39" s="92"/>
      <c r="X39" s="92"/>
      <c r="Y39" s="92"/>
      <c r="AA39" s="73">
        <v>35</v>
      </c>
      <c r="AB39" s="145" t="s">
        <v>71</v>
      </c>
      <c r="AC39" s="92" t="s">
        <v>76</v>
      </c>
      <c r="AD39" s="93">
        <f>'Raw Score Check'!Q38</f>
        <v>0</v>
      </c>
      <c r="AE39" s="155"/>
      <c r="AF39" s="155"/>
    </row>
    <row r="40" spans="2:32" ht="32.25" customHeight="1">
      <c r="B40" s="73">
        <v>36</v>
      </c>
      <c r="C40" s="92" t="s">
        <v>52</v>
      </c>
      <c r="D40" s="92" t="s">
        <v>57</v>
      </c>
      <c r="E40" s="92">
        <f>'Raw Score Check'!H39</f>
        <v>0</v>
      </c>
      <c r="F40" s="134">
        <v>0</v>
      </c>
      <c r="G40" s="134"/>
      <c r="H40" s="134">
        <v>1</v>
      </c>
      <c r="I40" s="134"/>
      <c r="J40" s="93"/>
      <c r="K40" s="73">
        <v>36</v>
      </c>
      <c r="L40" s="92" t="s">
        <v>65</v>
      </c>
      <c r="M40" s="92" t="s">
        <v>68</v>
      </c>
      <c r="N40" s="92">
        <f>'Raw Score Check'!K39</f>
        <v>0</v>
      </c>
      <c r="O40" s="134"/>
      <c r="P40" s="134"/>
      <c r="Q40" s="134"/>
      <c r="R40" s="134"/>
      <c r="S40" s="93"/>
      <c r="U40" s="92"/>
      <c r="V40" s="92"/>
      <c r="W40" s="92"/>
      <c r="X40" s="92"/>
      <c r="Y40" s="92"/>
      <c r="AA40" s="73">
        <v>36</v>
      </c>
      <c r="AB40" s="92" t="s">
        <v>96</v>
      </c>
      <c r="AC40" s="92" t="s">
        <v>105</v>
      </c>
      <c r="AD40" s="93">
        <f>'Raw Score Check'!Q39</f>
        <v>0</v>
      </c>
      <c r="AE40" s="155"/>
      <c r="AF40" s="155"/>
    </row>
    <row r="41" spans="2:32" ht="32.25" customHeight="1">
      <c r="B41" s="73">
        <v>37</v>
      </c>
      <c r="C41" s="92" t="s">
        <v>40</v>
      </c>
      <c r="D41" s="92" t="s">
        <v>46</v>
      </c>
      <c r="E41" s="92">
        <f>'Raw Score Check'!H40</f>
        <v>0</v>
      </c>
      <c r="F41" s="134">
        <v>1</v>
      </c>
      <c r="G41" s="134"/>
      <c r="H41" s="134">
        <v>1</v>
      </c>
      <c r="I41" s="134"/>
      <c r="J41" s="93"/>
      <c r="K41" s="73">
        <v>37</v>
      </c>
      <c r="L41" s="92" t="s">
        <v>61</v>
      </c>
      <c r="M41" s="92" t="s">
        <v>62</v>
      </c>
      <c r="N41" s="92">
        <f>'Raw Score Check'!K40</f>
        <v>0</v>
      </c>
      <c r="O41" s="134"/>
      <c r="P41" s="134">
        <v>1</v>
      </c>
      <c r="Q41" s="134"/>
      <c r="R41" s="134"/>
      <c r="S41" s="93"/>
      <c r="U41" s="92"/>
      <c r="V41" s="92"/>
      <c r="W41" s="92"/>
      <c r="X41" s="92"/>
      <c r="Y41" s="92"/>
      <c r="AA41" s="73">
        <v>37</v>
      </c>
      <c r="AB41" s="92" t="s">
        <v>96</v>
      </c>
      <c r="AC41" s="92" t="s">
        <v>103</v>
      </c>
      <c r="AD41" s="93">
        <f>'Raw Score Check'!Q40</f>
        <v>0</v>
      </c>
      <c r="AE41" s="155">
        <v>1</v>
      </c>
      <c r="AF41" s="155"/>
    </row>
    <row r="42" spans="2:32" ht="32.25" customHeight="1" thickBot="1">
      <c r="B42" s="73">
        <v>38</v>
      </c>
      <c r="C42" s="92" t="s">
        <v>40</v>
      </c>
      <c r="D42" s="92" t="s">
        <v>44</v>
      </c>
      <c r="E42" s="92">
        <f>'Raw Score Check'!H41</f>
        <v>0</v>
      </c>
      <c r="F42" s="134">
        <v>0</v>
      </c>
      <c r="G42" s="134"/>
      <c r="H42" s="134">
        <v>1</v>
      </c>
      <c r="I42" s="134"/>
      <c r="J42" s="93"/>
      <c r="K42" s="73">
        <v>38</v>
      </c>
      <c r="L42" s="92" t="s">
        <v>61</v>
      </c>
      <c r="M42" s="92" t="s">
        <v>64</v>
      </c>
      <c r="N42" s="92">
        <f>'Raw Score Check'!K41</f>
        <v>0</v>
      </c>
      <c r="O42" s="134"/>
      <c r="P42" s="134">
        <v>1</v>
      </c>
      <c r="Q42" s="134"/>
      <c r="R42" s="134"/>
      <c r="S42" s="93"/>
      <c r="U42" s="92"/>
      <c r="V42" s="92"/>
      <c r="W42" s="92"/>
      <c r="X42" s="92"/>
      <c r="Y42" s="92"/>
      <c r="AA42" s="74">
        <v>38</v>
      </c>
      <c r="AB42" s="92" t="s">
        <v>96</v>
      </c>
      <c r="AC42" s="92" t="s">
        <v>98</v>
      </c>
      <c r="AD42" s="93">
        <f>'Raw Score Check'!Q41</f>
        <v>0</v>
      </c>
      <c r="AE42" s="155">
        <v>1</v>
      </c>
      <c r="AF42" s="155"/>
    </row>
    <row r="43" spans="2:32" ht="32.25" customHeight="1">
      <c r="B43" s="73">
        <v>39</v>
      </c>
      <c r="C43" s="92" t="s">
        <v>40</v>
      </c>
      <c r="D43" s="92" t="s">
        <v>42</v>
      </c>
      <c r="E43" s="92">
        <f>'Raw Score Check'!H42</f>
        <v>0</v>
      </c>
      <c r="F43" s="134">
        <v>0</v>
      </c>
      <c r="G43" s="134">
        <v>1</v>
      </c>
      <c r="H43" s="134">
        <v>1</v>
      </c>
      <c r="I43" s="134"/>
      <c r="J43" s="93"/>
      <c r="K43" s="73">
        <v>39</v>
      </c>
      <c r="L43" s="92" t="s">
        <v>65</v>
      </c>
      <c r="M43" s="92" t="s">
        <v>68</v>
      </c>
      <c r="N43" s="92">
        <f>'Raw Score Check'!K42</f>
        <v>0</v>
      </c>
      <c r="O43" s="134"/>
      <c r="P43" s="134"/>
      <c r="Q43" s="134"/>
      <c r="R43" s="134"/>
      <c r="S43" s="93"/>
      <c r="U43" s="92"/>
      <c r="V43" s="92"/>
      <c r="W43" s="92"/>
      <c r="X43" s="92"/>
      <c r="Y43" s="92"/>
      <c r="AB43" s="92"/>
      <c r="AC43" s="92"/>
    </row>
    <row r="44" spans="2:32" ht="32.25" customHeight="1">
      <c r="B44" s="73">
        <v>40</v>
      </c>
      <c r="C44" s="92" t="s">
        <v>52</v>
      </c>
      <c r="D44" s="92" t="s">
        <v>56</v>
      </c>
      <c r="E44" s="92">
        <f>'Raw Score Check'!H43</f>
        <v>0</v>
      </c>
      <c r="F44" s="134">
        <v>0</v>
      </c>
      <c r="G44" s="134"/>
      <c r="H44" s="134">
        <v>1</v>
      </c>
      <c r="I44" s="134"/>
      <c r="J44" s="93"/>
      <c r="K44" s="73">
        <v>40</v>
      </c>
      <c r="L44" s="92" t="s">
        <v>61</v>
      </c>
      <c r="M44" s="92" t="s">
        <v>62</v>
      </c>
      <c r="N44" s="92">
        <f>'Raw Score Check'!K43</f>
        <v>0</v>
      </c>
      <c r="O44" s="134"/>
      <c r="P44" s="134"/>
      <c r="Q44" s="134"/>
      <c r="R44" s="134"/>
      <c r="S44" s="93"/>
      <c r="U44" s="92"/>
      <c r="V44" s="92"/>
      <c r="W44" s="92"/>
      <c r="X44" s="92"/>
      <c r="Y44" s="92"/>
      <c r="AB44" s="92"/>
      <c r="AC44" s="92"/>
    </row>
    <row r="45" spans="2:32" ht="32.25" customHeight="1">
      <c r="B45" s="73">
        <v>41</v>
      </c>
      <c r="C45" s="92" t="s">
        <v>52</v>
      </c>
      <c r="D45" s="92" t="s">
        <v>55</v>
      </c>
      <c r="E45" s="92">
        <f>'Raw Score Check'!H44</f>
        <v>0</v>
      </c>
      <c r="F45" s="134">
        <v>0</v>
      </c>
      <c r="G45" s="134"/>
      <c r="H45" s="134">
        <v>1</v>
      </c>
      <c r="I45" s="134"/>
      <c r="J45" s="93"/>
      <c r="K45" s="73">
        <v>41</v>
      </c>
      <c r="L45" s="92" t="s">
        <v>65</v>
      </c>
      <c r="M45" s="92" t="s">
        <v>67</v>
      </c>
      <c r="N45" s="92">
        <f>'Raw Score Check'!K44</f>
        <v>0</v>
      </c>
      <c r="O45" s="134"/>
      <c r="P45" s="134"/>
      <c r="Q45" s="134"/>
      <c r="R45" s="134"/>
      <c r="S45" s="93"/>
      <c r="U45" s="92"/>
      <c r="V45" s="92"/>
      <c r="W45" s="92"/>
      <c r="X45" s="92"/>
      <c r="Y45" s="92"/>
      <c r="AB45" s="92"/>
      <c r="AC45" s="92"/>
    </row>
    <row r="46" spans="2:32" ht="32.25" customHeight="1">
      <c r="B46" s="73">
        <v>42</v>
      </c>
      <c r="C46" s="92" t="s">
        <v>58</v>
      </c>
      <c r="D46" s="92" t="s">
        <v>59</v>
      </c>
      <c r="E46" s="92">
        <f>'Raw Score Check'!H45</f>
        <v>0</v>
      </c>
      <c r="F46" s="134">
        <v>0</v>
      </c>
      <c r="G46" s="134"/>
      <c r="H46" s="134">
        <v>1</v>
      </c>
      <c r="I46" s="134"/>
      <c r="J46" s="93"/>
      <c r="K46" s="73">
        <v>42</v>
      </c>
      <c r="L46" s="92" t="s">
        <v>65</v>
      </c>
      <c r="M46" s="92" t="s">
        <v>68</v>
      </c>
      <c r="N46" s="92">
        <f>'Raw Score Check'!K45</f>
        <v>0</v>
      </c>
      <c r="O46" s="134"/>
      <c r="P46" s="134"/>
      <c r="Q46" s="134"/>
      <c r="R46" s="134"/>
      <c r="S46" s="93"/>
      <c r="U46" s="92"/>
      <c r="V46" s="92"/>
      <c r="W46" s="92"/>
      <c r="X46" s="92"/>
      <c r="Y46" s="92"/>
      <c r="AB46" s="92"/>
      <c r="AC46" s="92"/>
    </row>
    <row r="47" spans="2:32" ht="32.25" customHeight="1">
      <c r="B47" s="73">
        <v>43</v>
      </c>
      <c r="C47" s="92" t="s">
        <v>52</v>
      </c>
      <c r="D47" s="92" t="s">
        <v>55</v>
      </c>
      <c r="E47" s="92">
        <f>'Raw Score Check'!H46</f>
        <v>0</v>
      </c>
      <c r="F47" s="134">
        <v>0</v>
      </c>
      <c r="G47" s="134"/>
      <c r="H47" s="134"/>
      <c r="I47" s="134">
        <v>1</v>
      </c>
      <c r="J47" s="93"/>
      <c r="K47" s="73">
        <v>43</v>
      </c>
      <c r="L47" s="92" t="s">
        <v>61</v>
      </c>
      <c r="M47" s="92" t="s">
        <v>64</v>
      </c>
      <c r="N47" s="92">
        <f>'Raw Score Check'!K46</f>
        <v>0</v>
      </c>
      <c r="O47" s="134"/>
      <c r="P47" s="134"/>
      <c r="Q47" s="134"/>
      <c r="R47" s="134"/>
      <c r="S47" s="93"/>
      <c r="U47" s="92"/>
      <c r="V47" s="92"/>
      <c r="W47" s="92"/>
      <c r="X47" s="92"/>
      <c r="Y47" s="92"/>
      <c r="AB47" s="92"/>
      <c r="AC47" s="92"/>
    </row>
    <row r="48" spans="2:32" ht="32.25" customHeight="1" thickBot="1">
      <c r="B48" s="73">
        <v>44</v>
      </c>
      <c r="C48" s="92" t="s">
        <v>40</v>
      </c>
      <c r="D48" s="92" t="s">
        <v>46</v>
      </c>
      <c r="E48" s="92">
        <f>'Raw Score Check'!H47</f>
        <v>0</v>
      </c>
      <c r="F48" s="134">
        <v>1</v>
      </c>
      <c r="G48" s="134"/>
      <c r="H48" s="134"/>
      <c r="I48" s="134">
        <v>1</v>
      </c>
      <c r="J48" s="93"/>
      <c r="K48" s="74">
        <v>44</v>
      </c>
      <c r="L48" s="92" t="s">
        <v>65</v>
      </c>
      <c r="M48" s="92" t="s">
        <v>67</v>
      </c>
      <c r="N48" s="92">
        <f>'Raw Score Check'!K47</f>
        <v>0</v>
      </c>
      <c r="O48" s="134"/>
      <c r="P48" s="134"/>
      <c r="Q48" s="134"/>
      <c r="R48" s="134"/>
      <c r="S48" s="93"/>
      <c r="U48" s="92"/>
      <c r="V48" s="92"/>
      <c r="W48" s="92"/>
      <c r="X48" s="92"/>
      <c r="Y48" s="92"/>
      <c r="AB48" s="92"/>
      <c r="AC48" s="92"/>
    </row>
    <row r="49" spans="2:25" ht="32.25" customHeight="1">
      <c r="B49" s="73">
        <v>45</v>
      </c>
      <c r="C49" s="92" t="s">
        <v>40</v>
      </c>
      <c r="D49" s="92" t="s">
        <v>41</v>
      </c>
      <c r="E49" s="92">
        <f>'Raw Score Check'!H48</f>
        <v>0</v>
      </c>
      <c r="F49" s="134">
        <v>0</v>
      </c>
      <c r="G49" s="134"/>
      <c r="H49" s="134"/>
      <c r="I49" s="134">
        <v>1</v>
      </c>
      <c r="J49" s="93"/>
      <c r="L49" s="92"/>
      <c r="M49" s="92"/>
      <c r="Q49" s="92"/>
      <c r="V49" s="92"/>
      <c r="W49" s="92"/>
      <c r="X49" s="92"/>
      <c r="Y49" s="92"/>
    </row>
    <row r="50" spans="2:25" ht="32.25" customHeight="1">
      <c r="B50" s="73">
        <v>46</v>
      </c>
      <c r="C50" s="92" t="s">
        <v>40</v>
      </c>
      <c r="D50" s="92" t="s">
        <v>42</v>
      </c>
      <c r="E50" s="92">
        <f>'Raw Score Check'!H49</f>
        <v>0</v>
      </c>
      <c r="F50" s="134">
        <v>0</v>
      </c>
      <c r="G50" s="134">
        <v>1</v>
      </c>
      <c r="H50" s="134"/>
      <c r="I50" s="134">
        <v>1</v>
      </c>
      <c r="J50" s="93"/>
      <c r="L50" s="132" t="s">
        <v>125</v>
      </c>
      <c r="M50" s="92" t="s">
        <v>47</v>
      </c>
      <c r="P50" s="93" t="s">
        <v>48</v>
      </c>
      <c r="Q50" s="92"/>
      <c r="V50" s="92"/>
      <c r="W50" s="92"/>
      <c r="X50" s="92"/>
      <c r="Y50" s="92"/>
    </row>
    <row r="51" spans="2:25" ht="32.25" customHeight="1">
      <c r="B51" s="73">
        <v>47</v>
      </c>
      <c r="C51" s="92" t="s">
        <v>40</v>
      </c>
      <c r="D51" s="92" t="s">
        <v>41</v>
      </c>
      <c r="E51" s="92">
        <f>'Raw Score Check'!H50</f>
        <v>0</v>
      </c>
      <c r="F51" s="134">
        <v>0</v>
      </c>
      <c r="G51" s="134"/>
      <c r="H51" s="134"/>
      <c r="I51" s="134">
        <v>1</v>
      </c>
      <c r="J51" s="93"/>
      <c r="L51" s="92" t="s">
        <v>41</v>
      </c>
      <c r="M51" s="92"/>
      <c r="Q51" s="92"/>
      <c r="V51" s="92"/>
      <c r="W51" s="92"/>
      <c r="X51" s="92"/>
      <c r="Y51" s="92"/>
    </row>
    <row r="52" spans="2:25" ht="32.25" customHeight="1">
      <c r="B52" s="73">
        <v>48</v>
      </c>
      <c r="C52" s="92" t="s">
        <v>40</v>
      </c>
      <c r="D52" s="92" t="s">
        <v>42</v>
      </c>
      <c r="E52" s="92">
        <f>'Raw Score Check'!H51</f>
        <v>0</v>
      </c>
      <c r="F52" s="134">
        <v>0</v>
      </c>
      <c r="G52" s="134"/>
      <c r="H52" s="134"/>
      <c r="I52" s="134">
        <v>1</v>
      </c>
      <c r="J52" s="93"/>
      <c r="L52" s="92"/>
      <c r="M52" s="92"/>
      <c r="Q52" s="92"/>
      <c r="V52" s="92"/>
      <c r="W52" s="92"/>
      <c r="X52" s="92"/>
      <c r="Y52" s="92"/>
    </row>
    <row r="53" spans="2:25" ht="32.25" customHeight="1">
      <c r="B53" s="73">
        <v>49</v>
      </c>
      <c r="C53" s="92" t="s">
        <v>40</v>
      </c>
      <c r="D53" s="92" t="s">
        <v>46</v>
      </c>
      <c r="E53" s="92">
        <f>'Raw Score Check'!H52</f>
        <v>0</v>
      </c>
      <c r="F53" s="134">
        <v>1</v>
      </c>
      <c r="G53" s="134"/>
      <c r="H53" s="134"/>
      <c r="I53" s="134">
        <v>1</v>
      </c>
      <c r="J53" s="93"/>
      <c r="L53" s="92"/>
      <c r="M53" s="92"/>
      <c r="Q53" s="92"/>
      <c r="V53" s="92"/>
      <c r="W53" s="92"/>
      <c r="X53" s="92"/>
      <c r="Y53" s="92"/>
    </row>
    <row r="54" spans="2:25" ht="32.25" customHeight="1">
      <c r="B54" s="73">
        <v>50</v>
      </c>
      <c r="C54" s="92" t="s">
        <v>52</v>
      </c>
      <c r="D54" s="92" t="s">
        <v>54</v>
      </c>
      <c r="E54" s="92">
        <f>'Raw Score Check'!H53</f>
        <v>0</v>
      </c>
      <c r="F54" s="134">
        <v>0</v>
      </c>
      <c r="G54" s="134"/>
      <c r="H54" s="134"/>
      <c r="I54" s="134">
        <v>1</v>
      </c>
      <c r="J54" s="93"/>
      <c r="L54" s="92"/>
      <c r="M54" s="92"/>
      <c r="Q54" s="92"/>
      <c r="V54" s="92"/>
      <c r="W54" s="92"/>
      <c r="X54" s="92"/>
      <c r="Y54" s="92"/>
    </row>
    <row r="55" spans="2:25" ht="32.25" customHeight="1">
      <c r="B55" s="73">
        <v>51</v>
      </c>
      <c r="C55" s="92" t="s">
        <v>58</v>
      </c>
      <c r="D55" s="92" t="s">
        <v>60</v>
      </c>
      <c r="E55" s="92">
        <f>'Raw Score Check'!H54</f>
        <v>0</v>
      </c>
      <c r="F55" s="134">
        <v>0</v>
      </c>
      <c r="G55" s="134"/>
      <c r="H55" s="134"/>
      <c r="I55" s="134">
        <v>1</v>
      </c>
      <c r="J55" s="93"/>
      <c r="L55" s="92"/>
      <c r="M55" s="92"/>
      <c r="Q55" s="92"/>
      <c r="V55" s="92"/>
      <c r="W55" s="92"/>
      <c r="X55" s="92"/>
      <c r="Y55" s="92"/>
    </row>
    <row r="56" spans="2:25" ht="32.25" customHeight="1" thickBot="1">
      <c r="B56" s="74">
        <v>52</v>
      </c>
      <c r="C56" s="92" t="s">
        <v>58</v>
      </c>
      <c r="D56" s="92" t="s">
        <v>60</v>
      </c>
      <c r="E56" s="92">
        <f>'Raw Score Check'!H55</f>
        <v>0</v>
      </c>
      <c r="F56" s="134">
        <v>0</v>
      </c>
      <c r="G56" s="134">
        <v>1</v>
      </c>
      <c r="H56" s="134"/>
      <c r="I56" s="134">
        <v>1</v>
      </c>
      <c r="J56" s="93"/>
      <c r="L56" s="92"/>
      <c r="M56" s="92"/>
      <c r="Q56" s="92"/>
      <c r="V56" s="92"/>
      <c r="W56" s="92"/>
      <c r="X56" s="92"/>
      <c r="Y56" s="92"/>
    </row>
  </sheetData>
  <dataValidations count="4">
    <dataValidation type="list" allowBlank="1" showInputMessage="1" showErrorMessage="1" sqref="L5:L48">
      <formula1>WritingHeader</formula1>
    </dataValidation>
    <dataValidation type="list" allowBlank="1" showInputMessage="1" showErrorMessage="1" sqref="V5:V24 AC5:AC42">
      <formula1>MathDependentList2</formula1>
    </dataValidation>
    <dataValidation type="list" allowBlank="1" showInputMessage="1" showErrorMessage="1" sqref="D5:I56">
      <formula1>ReadingDependentList</formula1>
    </dataValidation>
    <dataValidation type="list" allowBlank="1" showInputMessage="1" showErrorMessage="1" sqref="M5:R48">
      <formula1>WritingDependentList</formula1>
    </dataValidation>
  </dataValidations>
  <pageMargins left="0.7" right="0.7" top="0.75" bottom="0.75" header="0.3" footer="0.3"/>
  <pageSetup scale="38" fitToHeight="0" orientation="portrait" r:id="rId1"/>
  <tableParts count="4">
    <tablePart r:id="rId2"/>
    <tablePart r:id="rId3"/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Key!$G$3:$J$3</xm:f>
          </x14:formula1>
          <xm:sqref>C5:C56</xm:sqref>
        </x14:dataValidation>
        <x14:dataValidation type="list" allowBlank="1" showInputMessage="1" showErrorMessage="1">
          <x14:formula1>
            <xm:f>'Skill Key'!$A$3:$E$3</xm:f>
          </x14:formula1>
          <xm:sqref>U5:U24 AB5:AB42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7">
    <pageSetUpPr fitToPage="1"/>
  </sheetPr>
  <dimension ref="A1:AF56"/>
  <sheetViews>
    <sheetView topLeftCell="Q34" zoomScale="85" zoomScaleNormal="85" workbookViewId="0">
      <selection activeCell="AC41" sqref="AC41"/>
    </sheetView>
  </sheetViews>
  <sheetFormatPr defaultColWidth="10" defaultRowHeight="15"/>
  <cols>
    <col min="1" max="1" width="7" style="93" customWidth="1"/>
    <col min="2" max="2" width="10" style="93"/>
    <col min="3" max="6" width="10" style="92"/>
    <col min="7" max="7" width="10" style="93"/>
    <col min="8" max="8" width="10.5703125" style="92" customWidth="1"/>
    <col min="9" max="9" width="10" style="92"/>
    <col min="10" max="10" width="5.28515625" style="92" customWidth="1"/>
    <col min="11" max="13" width="10" style="93"/>
    <col min="14" max="14" width="10" style="92"/>
    <col min="15" max="15" width="9.5703125" style="92" customWidth="1"/>
    <col min="16" max="17" width="10" style="93"/>
    <col min="18" max="18" width="13" style="92" customWidth="1"/>
    <col min="19" max="19" width="3.28515625" style="92" customWidth="1"/>
    <col min="20" max="20" width="10.7109375" style="93" customWidth="1"/>
    <col min="21" max="21" width="10.5703125" style="93" customWidth="1"/>
    <col min="22" max="22" width="10" style="93"/>
    <col min="23" max="23" width="12" style="93" customWidth="1"/>
    <col min="24" max="16384" width="10" style="93"/>
  </cols>
  <sheetData>
    <row r="1" spans="1:32">
      <c r="A1" s="65" t="s">
        <v>213</v>
      </c>
    </row>
    <row r="4" spans="1:32" ht="54" customHeight="1" thickBot="1">
      <c r="B4" s="65" t="s">
        <v>117</v>
      </c>
      <c r="C4" s="132" t="s">
        <v>118</v>
      </c>
      <c r="D4" s="132" t="s">
        <v>119</v>
      </c>
      <c r="E4" s="132" t="s">
        <v>126</v>
      </c>
      <c r="F4" s="132" t="s">
        <v>139</v>
      </c>
      <c r="G4" s="132" t="s">
        <v>140</v>
      </c>
      <c r="H4" s="132" t="s">
        <v>143</v>
      </c>
      <c r="I4" s="132" t="s">
        <v>144</v>
      </c>
      <c r="J4" s="93"/>
      <c r="K4" s="65" t="s">
        <v>120</v>
      </c>
      <c r="L4" s="132" t="s">
        <v>118</v>
      </c>
      <c r="M4" s="132" t="s">
        <v>119</v>
      </c>
      <c r="N4" s="132" t="s">
        <v>126</v>
      </c>
      <c r="O4" s="132" t="s">
        <v>139</v>
      </c>
      <c r="P4" s="132" t="s">
        <v>140</v>
      </c>
      <c r="Q4" s="132" t="s">
        <v>143</v>
      </c>
      <c r="R4" s="132" t="s">
        <v>144</v>
      </c>
      <c r="S4" s="93"/>
      <c r="T4" s="141" t="s">
        <v>121</v>
      </c>
      <c r="U4" s="142" t="s">
        <v>118</v>
      </c>
      <c r="V4" s="142" t="s">
        <v>119</v>
      </c>
      <c r="W4" s="143" t="s">
        <v>126</v>
      </c>
      <c r="X4" s="153" t="s">
        <v>143</v>
      </c>
      <c r="Y4" s="153" t="s">
        <v>144</v>
      </c>
      <c r="AA4" s="65" t="s">
        <v>122</v>
      </c>
      <c r="AB4" s="132" t="s">
        <v>118</v>
      </c>
      <c r="AC4" s="132" t="s">
        <v>119</v>
      </c>
      <c r="AD4" s="65" t="s">
        <v>126</v>
      </c>
      <c r="AE4" s="65" t="s">
        <v>143</v>
      </c>
      <c r="AF4" s="65" t="s">
        <v>144</v>
      </c>
    </row>
    <row r="5" spans="1:32" ht="32.25" customHeight="1">
      <c r="B5" s="73">
        <v>1</v>
      </c>
      <c r="C5" s="92" t="s">
        <v>40</v>
      </c>
      <c r="D5" s="92" t="s">
        <v>43</v>
      </c>
      <c r="E5" s="92">
        <f>'Raw Score Check'!H4</f>
        <v>0</v>
      </c>
      <c r="F5" s="134"/>
      <c r="G5" s="134"/>
      <c r="H5" s="134"/>
      <c r="I5" s="134"/>
      <c r="J5" s="93"/>
      <c r="K5" s="133">
        <v>1</v>
      </c>
      <c r="L5" s="92" t="s">
        <v>61</v>
      </c>
      <c r="M5" s="92" t="s">
        <v>62</v>
      </c>
      <c r="N5" s="92">
        <f>'Raw Score Check'!K4</f>
        <v>0</v>
      </c>
      <c r="O5" s="134"/>
      <c r="P5" s="134">
        <v>1</v>
      </c>
      <c r="Q5" s="134"/>
      <c r="R5" s="134">
        <v>1</v>
      </c>
      <c r="S5" s="93"/>
      <c r="T5" s="144">
        <v>1</v>
      </c>
      <c r="U5" s="145" t="s">
        <v>71</v>
      </c>
      <c r="V5" s="146" t="s">
        <v>72</v>
      </c>
      <c r="W5" s="147">
        <f>'Raw Score Check'!N4</f>
        <v>0</v>
      </c>
      <c r="X5" s="154"/>
      <c r="Y5" s="154"/>
      <c r="AA5" s="73">
        <v>1</v>
      </c>
      <c r="AB5" s="92" t="s">
        <v>96</v>
      </c>
      <c r="AC5" s="92" t="s">
        <v>106</v>
      </c>
      <c r="AD5" s="93">
        <f>'Raw Score Check'!Q4</f>
        <v>0</v>
      </c>
      <c r="AE5" s="155"/>
      <c r="AF5" s="155"/>
    </row>
    <row r="6" spans="1:32" ht="32.25" customHeight="1">
      <c r="B6" s="73">
        <v>2</v>
      </c>
      <c r="C6" s="92" t="s">
        <v>52</v>
      </c>
      <c r="D6" s="92" t="s">
        <v>56</v>
      </c>
      <c r="E6" s="92">
        <f>'Raw Score Check'!H5</f>
        <v>0</v>
      </c>
      <c r="F6" s="134"/>
      <c r="G6" s="134"/>
      <c r="H6" s="134"/>
      <c r="I6" s="134"/>
      <c r="J6" s="93"/>
      <c r="K6" s="73">
        <v>2</v>
      </c>
      <c r="L6" s="92" t="s">
        <v>61</v>
      </c>
      <c r="M6" s="92" t="s">
        <v>64</v>
      </c>
      <c r="N6" s="92">
        <f>'Raw Score Check'!K5</f>
        <v>0</v>
      </c>
      <c r="O6" s="134">
        <v>1</v>
      </c>
      <c r="P6" s="134"/>
      <c r="Q6" s="134"/>
      <c r="R6" s="134">
        <v>1</v>
      </c>
      <c r="S6" s="93"/>
      <c r="T6" s="144">
        <v>2</v>
      </c>
      <c r="U6" s="148" t="s">
        <v>107</v>
      </c>
      <c r="V6" s="149" t="s">
        <v>112</v>
      </c>
      <c r="W6" s="150">
        <f>'Raw Score Check'!N5</f>
        <v>0</v>
      </c>
      <c r="X6" s="89"/>
      <c r="Y6" s="154"/>
      <c r="AA6" s="73">
        <v>2</v>
      </c>
      <c r="AB6" s="145" t="s">
        <v>71</v>
      </c>
      <c r="AC6" s="92" t="s">
        <v>77</v>
      </c>
      <c r="AD6" s="93">
        <f>'Raw Score Check'!Q5</f>
        <v>0</v>
      </c>
      <c r="AE6" s="155"/>
      <c r="AF6" s="155"/>
    </row>
    <row r="7" spans="1:32" ht="32.25" customHeight="1">
      <c r="B7" s="73">
        <v>3</v>
      </c>
      <c r="C7" s="92" t="s">
        <v>40</v>
      </c>
      <c r="D7" s="92" t="s">
        <v>41</v>
      </c>
      <c r="E7" s="92">
        <f>'Raw Score Check'!H6</f>
        <v>0</v>
      </c>
      <c r="F7" s="134"/>
      <c r="G7" s="134"/>
      <c r="H7" s="134"/>
      <c r="I7" s="134"/>
      <c r="J7" s="93"/>
      <c r="K7" s="73">
        <v>3</v>
      </c>
      <c r="L7" s="92" t="s">
        <v>61</v>
      </c>
      <c r="M7" s="92" t="s">
        <v>62</v>
      </c>
      <c r="N7" s="92">
        <f>'Raw Score Check'!K6</f>
        <v>0</v>
      </c>
      <c r="O7" s="134"/>
      <c r="P7" s="134">
        <v>1</v>
      </c>
      <c r="Q7" s="134"/>
      <c r="R7" s="134">
        <v>1</v>
      </c>
      <c r="S7" s="93"/>
      <c r="T7" s="144">
        <v>3</v>
      </c>
      <c r="U7" s="145" t="s">
        <v>81</v>
      </c>
      <c r="V7" s="146" t="s">
        <v>82</v>
      </c>
      <c r="W7" s="147">
        <f>'Raw Score Check'!N6</f>
        <v>0</v>
      </c>
      <c r="X7" s="154"/>
      <c r="Y7" s="154"/>
      <c r="AA7" s="73">
        <v>3</v>
      </c>
      <c r="AB7" s="92" t="s">
        <v>96</v>
      </c>
      <c r="AC7" s="92" t="s">
        <v>99</v>
      </c>
      <c r="AD7" s="93">
        <f>'Raw Score Check'!Q6</f>
        <v>0</v>
      </c>
      <c r="AE7" s="155"/>
      <c r="AF7" s="155"/>
    </row>
    <row r="8" spans="1:32" ht="32.25" customHeight="1">
      <c r="B8" s="73">
        <v>4</v>
      </c>
      <c r="C8" s="92" t="s">
        <v>40</v>
      </c>
      <c r="D8" s="92" t="s">
        <v>41</v>
      </c>
      <c r="E8" s="92">
        <f>'Raw Score Check'!H7</f>
        <v>0</v>
      </c>
      <c r="F8" s="134"/>
      <c r="G8" s="134"/>
      <c r="H8" s="134"/>
      <c r="I8" s="134"/>
      <c r="J8" s="93"/>
      <c r="K8" s="73">
        <v>4</v>
      </c>
      <c r="L8" s="92" t="s">
        <v>65</v>
      </c>
      <c r="M8" s="92" t="s">
        <v>67</v>
      </c>
      <c r="N8" s="92">
        <f>'Raw Score Check'!K7</f>
        <v>0</v>
      </c>
      <c r="O8" s="134"/>
      <c r="P8" s="134"/>
      <c r="Q8" s="134"/>
      <c r="R8" s="134"/>
      <c r="S8" s="93"/>
      <c r="T8" s="144">
        <v>4</v>
      </c>
      <c r="U8" s="145" t="s">
        <v>81</v>
      </c>
      <c r="V8" s="149" t="s">
        <v>91</v>
      </c>
      <c r="W8" s="150">
        <f>'Raw Score Check'!N7</f>
        <v>0</v>
      </c>
      <c r="X8" s="89"/>
      <c r="Y8" s="154"/>
      <c r="AA8" s="73">
        <v>4</v>
      </c>
      <c r="AB8" s="145" t="s">
        <v>71</v>
      </c>
      <c r="AC8" s="92" t="s">
        <v>72</v>
      </c>
      <c r="AD8" s="93">
        <f>'Raw Score Check'!Q7</f>
        <v>0</v>
      </c>
      <c r="AE8" s="155"/>
      <c r="AF8" s="155"/>
    </row>
    <row r="9" spans="1:32" ht="32.25" customHeight="1">
      <c r="B9" s="73">
        <v>5</v>
      </c>
      <c r="C9" s="92" t="s">
        <v>40</v>
      </c>
      <c r="D9" s="92" t="s">
        <v>42</v>
      </c>
      <c r="E9" s="92">
        <f>'Raw Score Check'!H8</f>
        <v>0</v>
      </c>
      <c r="F9" s="134"/>
      <c r="G9" s="134">
        <v>1</v>
      </c>
      <c r="H9" s="134"/>
      <c r="I9" s="134"/>
      <c r="J9" s="93"/>
      <c r="K9" s="73">
        <v>5</v>
      </c>
      <c r="L9" s="92" t="s">
        <v>65</v>
      </c>
      <c r="M9" s="92" t="s">
        <v>67</v>
      </c>
      <c r="N9" s="92">
        <f>'Raw Score Check'!K8</f>
        <v>0</v>
      </c>
      <c r="O9" s="134"/>
      <c r="P9" s="134"/>
      <c r="Q9" s="134"/>
      <c r="R9" s="134"/>
      <c r="S9" s="93"/>
      <c r="T9" s="144">
        <v>5</v>
      </c>
      <c r="U9" s="145" t="s">
        <v>81</v>
      </c>
      <c r="V9" s="146" t="s">
        <v>87</v>
      </c>
      <c r="W9" s="147">
        <f>'Raw Score Check'!N8</f>
        <v>0</v>
      </c>
      <c r="X9" s="154"/>
      <c r="Y9" s="154"/>
      <c r="AA9" s="73">
        <v>5</v>
      </c>
      <c r="AB9" s="92" t="s">
        <v>96</v>
      </c>
      <c r="AC9" s="92" t="s">
        <v>99</v>
      </c>
      <c r="AD9" s="93">
        <f>'Raw Score Check'!Q8</f>
        <v>0</v>
      </c>
      <c r="AE9" s="155"/>
      <c r="AF9" s="155">
        <v>1</v>
      </c>
    </row>
    <row r="10" spans="1:32" ht="32.25" customHeight="1">
      <c r="B10" s="73">
        <v>6</v>
      </c>
      <c r="C10" s="92" t="s">
        <v>40</v>
      </c>
      <c r="D10" s="92" t="s">
        <v>41</v>
      </c>
      <c r="E10" s="92">
        <f>'Raw Score Check'!H9</f>
        <v>0</v>
      </c>
      <c r="F10" s="134"/>
      <c r="G10" s="134"/>
      <c r="H10" s="134"/>
      <c r="I10" s="134"/>
      <c r="J10" s="93"/>
      <c r="K10" s="73">
        <v>6</v>
      </c>
      <c r="L10" s="92" t="s">
        <v>65</v>
      </c>
      <c r="M10" s="92" t="s">
        <v>67</v>
      </c>
      <c r="N10" s="92">
        <f>'Raw Score Check'!K9</f>
        <v>0</v>
      </c>
      <c r="O10" s="134"/>
      <c r="P10" s="134"/>
      <c r="Q10" s="134"/>
      <c r="R10" s="134"/>
      <c r="S10" s="93"/>
      <c r="T10" s="144">
        <v>6</v>
      </c>
      <c r="U10" s="145" t="s">
        <v>81</v>
      </c>
      <c r="V10" s="149" t="s">
        <v>85</v>
      </c>
      <c r="W10" s="150">
        <f>'Raw Score Check'!N9</f>
        <v>0</v>
      </c>
      <c r="X10" s="89"/>
      <c r="Y10" s="89"/>
      <c r="AA10" s="73">
        <v>6</v>
      </c>
      <c r="AB10" s="145" t="s">
        <v>71</v>
      </c>
      <c r="AC10" s="92" t="s">
        <v>74</v>
      </c>
      <c r="AD10" s="93">
        <f>'Raw Score Check'!Q9</f>
        <v>0</v>
      </c>
      <c r="AE10" s="155"/>
      <c r="AF10" s="155"/>
    </row>
    <row r="11" spans="1:32" ht="32.25" customHeight="1">
      <c r="B11" s="73">
        <v>7</v>
      </c>
      <c r="C11" s="92" t="s">
        <v>40</v>
      </c>
      <c r="D11" s="92" t="s">
        <v>41</v>
      </c>
      <c r="E11" s="92">
        <f>'Raw Score Check'!H10</f>
        <v>0</v>
      </c>
      <c r="F11" s="134">
        <v>1</v>
      </c>
      <c r="G11" s="134"/>
      <c r="H11" s="134"/>
      <c r="I11" s="134"/>
      <c r="J11" s="93"/>
      <c r="K11" s="73">
        <v>7</v>
      </c>
      <c r="L11" s="92" t="s">
        <v>61</v>
      </c>
      <c r="M11" s="92" t="s">
        <v>63</v>
      </c>
      <c r="N11" s="92">
        <f>'Raw Score Check'!K10</f>
        <v>0</v>
      </c>
      <c r="O11" s="134"/>
      <c r="P11" s="134"/>
      <c r="Q11" s="134"/>
      <c r="R11" s="134">
        <v>1</v>
      </c>
      <c r="S11" s="93"/>
      <c r="T11" s="144">
        <v>7</v>
      </c>
      <c r="U11" s="145" t="s">
        <v>71</v>
      </c>
      <c r="V11" s="146" t="s">
        <v>78</v>
      </c>
      <c r="W11" s="147">
        <f>'Raw Score Check'!N10</f>
        <v>0</v>
      </c>
      <c r="X11" s="154"/>
      <c r="Y11" s="154"/>
      <c r="AA11" s="73">
        <v>7</v>
      </c>
      <c r="AB11" s="92" t="s">
        <v>96</v>
      </c>
      <c r="AC11" s="92" t="s">
        <v>103</v>
      </c>
      <c r="AD11" s="93">
        <f>'Raw Score Check'!Q10</f>
        <v>0</v>
      </c>
      <c r="AE11" s="155">
        <v>1</v>
      </c>
      <c r="AF11" s="155"/>
    </row>
    <row r="12" spans="1:32" ht="32.25" customHeight="1">
      <c r="B12" s="73">
        <v>8</v>
      </c>
      <c r="C12" s="92" t="s">
        <v>40</v>
      </c>
      <c r="D12" s="92" t="s">
        <v>43</v>
      </c>
      <c r="E12" s="92">
        <f>'Raw Score Check'!H11</f>
        <v>0</v>
      </c>
      <c r="F12" s="134"/>
      <c r="G12" s="134"/>
      <c r="H12" s="134"/>
      <c r="I12" s="134"/>
      <c r="J12" s="93"/>
      <c r="K12" s="73">
        <v>8</v>
      </c>
      <c r="L12" s="92" t="s">
        <v>61</v>
      </c>
      <c r="M12" s="92" t="s">
        <v>64</v>
      </c>
      <c r="N12" s="92">
        <f>'Raw Score Check'!K11</f>
        <v>0</v>
      </c>
      <c r="O12" s="134"/>
      <c r="P12" s="134"/>
      <c r="Q12" s="134"/>
      <c r="R12" s="134">
        <v>1</v>
      </c>
      <c r="S12" s="93"/>
      <c r="T12" s="144">
        <v>8</v>
      </c>
      <c r="U12" s="145" t="s">
        <v>71</v>
      </c>
      <c r="V12" s="149" t="s">
        <v>73</v>
      </c>
      <c r="W12" s="150">
        <f>'Raw Score Check'!N11</f>
        <v>0</v>
      </c>
      <c r="X12" s="89"/>
      <c r="Y12" s="154">
        <v>1</v>
      </c>
      <c r="AA12" s="73">
        <v>8</v>
      </c>
      <c r="AB12" s="145" t="s">
        <v>81</v>
      </c>
      <c r="AC12" s="92" t="s">
        <v>85</v>
      </c>
      <c r="AD12" s="93">
        <f>'Raw Score Check'!Q11</f>
        <v>0</v>
      </c>
      <c r="AE12" s="155"/>
      <c r="AF12" s="155"/>
    </row>
    <row r="13" spans="1:32" ht="32.25" customHeight="1">
      <c r="B13" s="73">
        <v>9</v>
      </c>
      <c r="C13" s="92" t="s">
        <v>40</v>
      </c>
      <c r="D13" s="92" t="s">
        <v>42</v>
      </c>
      <c r="E13" s="92">
        <f>'Raw Score Check'!H12</f>
        <v>0</v>
      </c>
      <c r="F13" s="134"/>
      <c r="G13" s="134">
        <v>1</v>
      </c>
      <c r="H13" s="134"/>
      <c r="I13" s="134"/>
      <c r="J13" s="93"/>
      <c r="K13" s="73">
        <v>9</v>
      </c>
      <c r="L13" s="92" t="s">
        <v>65</v>
      </c>
      <c r="M13" s="92" t="s">
        <v>67</v>
      </c>
      <c r="N13" s="92">
        <f>'Raw Score Check'!K12</f>
        <v>0</v>
      </c>
      <c r="O13" s="134"/>
      <c r="P13" s="134"/>
      <c r="Q13" s="134"/>
      <c r="R13" s="134"/>
      <c r="S13" s="93"/>
      <c r="T13" s="144">
        <v>9</v>
      </c>
      <c r="U13" s="145" t="s">
        <v>81</v>
      </c>
      <c r="V13" s="146" t="s">
        <v>92</v>
      </c>
      <c r="W13" s="147">
        <f>'Raw Score Check'!N12</f>
        <v>0</v>
      </c>
      <c r="X13" s="154"/>
      <c r="Y13" s="154"/>
      <c r="AA13" s="73">
        <v>9</v>
      </c>
      <c r="AB13" s="92" t="s">
        <v>96</v>
      </c>
      <c r="AC13" s="92" t="s">
        <v>99</v>
      </c>
      <c r="AD13" s="93">
        <f>'Raw Score Check'!Q12</f>
        <v>0</v>
      </c>
      <c r="AE13" s="155">
        <v>1</v>
      </c>
      <c r="AF13" s="155"/>
    </row>
    <row r="14" spans="1:32" ht="32.25" customHeight="1">
      <c r="B14" s="73">
        <v>10</v>
      </c>
      <c r="C14" s="92" t="s">
        <v>40</v>
      </c>
      <c r="D14" s="92" t="s">
        <v>46</v>
      </c>
      <c r="E14" s="92">
        <f>'Raw Score Check'!H13</f>
        <v>0</v>
      </c>
      <c r="F14" s="134">
        <v>1</v>
      </c>
      <c r="G14" s="134"/>
      <c r="H14" s="134"/>
      <c r="I14" s="134"/>
      <c r="J14" s="93"/>
      <c r="K14" s="73">
        <v>10</v>
      </c>
      <c r="L14" s="92" t="s">
        <v>61</v>
      </c>
      <c r="M14" s="92" t="s">
        <v>62</v>
      </c>
      <c r="N14" s="92">
        <f>'Raw Score Check'!K13</f>
        <v>0</v>
      </c>
      <c r="O14" s="134">
        <v>1</v>
      </c>
      <c r="P14" s="134"/>
      <c r="Q14" s="134"/>
      <c r="R14" s="134">
        <v>1</v>
      </c>
      <c r="S14" s="93"/>
      <c r="T14" s="144">
        <v>10</v>
      </c>
      <c r="U14" s="145" t="s">
        <v>81</v>
      </c>
      <c r="V14" s="149" t="s">
        <v>85</v>
      </c>
      <c r="W14" s="150">
        <f>'Raw Score Check'!N13</f>
        <v>0</v>
      </c>
      <c r="X14" s="89"/>
      <c r="Y14" s="154"/>
      <c r="AA14" s="73">
        <v>10</v>
      </c>
      <c r="AB14" s="145" t="s">
        <v>81</v>
      </c>
      <c r="AC14" s="92" t="s">
        <v>93</v>
      </c>
      <c r="AD14" s="93">
        <f>'Raw Score Check'!Q13</f>
        <v>0</v>
      </c>
      <c r="AE14" s="155"/>
      <c r="AF14" s="155">
        <v>1</v>
      </c>
    </row>
    <row r="15" spans="1:32" ht="32.25" customHeight="1">
      <c r="B15" s="73">
        <v>11</v>
      </c>
      <c r="C15" s="92" t="s">
        <v>40</v>
      </c>
      <c r="D15" s="92" t="s">
        <v>45</v>
      </c>
      <c r="E15" s="92">
        <f>'Raw Score Check'!H14</f>
        <v>0</v>
      </c>
      <c r="F15" s="134"/>
      <c r="G15" s="134"/>
      <c r="H15" s="134">
        <v>1</v>
      </c>
      <c r="I15" s="134"/>
      <c r="J15" s="93"/>
      <c r="K15" s="73">
        <v>11</v>
      </c>
      <c r="L15" s="92" t="s">
        <v>65</v>
      </c>
      <c r="M15" s="92" t="s">
        <v>67</v>
      </c>
      <c r="N15" s="92">
        <f>'Raw Score Check'!K14</f>
        <v>0</v>
      </c>
      <c r="O15" s="134"/>
      <c r="P15" s="134"/>
      <c r="Q15" s="134"/>
      <c r="R15" s="134"/>
      <c r="S15" s="93"/>
      <c r="T15" s="144">
        <v>11</v>
      </c>
      <c r="U15" s="145" t="s">
        <v>107</v>
      </c>
      <c r="V15" s="146" t="s">
        <v>108</v>
      </c>
      <c r="W15" s="147">
        <f>'Raw Score Check'!N14</f>
        <v>0</v>
      </c>
      <c r="X15" s="154"/>
      <c r="Y15" s="154"/>
      <c r="AA15" s="73">
        <v>11</v>
      </c>
      <c r="AB15" s="92" t="s">
        <v>71</v>
      </c>
      <c r="AC15" s="92" t="s">
        <v>72</v>
      </c>
      <c r="AD15" s="93">
        <f>'Raw Score Check'!Q14</f>
        <v>0</v>
      </c>
      <c r="AE15" s="155"/>
      <c r="AF15" s="155"/>
    </row>
    <row r="16" spans="1:32" ht="32.25" customHeight="1">
      <c r="B16" s="73">
        <v>12</v>
      </c>
      <c r="C16" s="92" t="s">
        <v>40</v>
      </c>
      <c r="D16" s="92" t="s">
        <v>42</v>
      </c>
      <c r="E16" s="92">
        <f>'Raw Score Check'!H15</f>
        <v>0</v>
      </c>
      <c r="F16" s="134"/>
      <c r="G16" s="134">
        <v>1</v>
      </c>
      <c r="H16" s="134">
        <v>1</v>
      </c>
      <c r="I16" s="134"/>
      <c r="J16" s="93"/>
      <c r="K16" s="73">
        <v>12</v>
      </c>
      <c r="L16" s="92" t="s">
        <v>61</v>
      </c>
      <c r="M16" s="92" t="s">
        <v>62</v>
      </c>
      <c r="N16" s="92">
        <f>'Raw Score Check'!K15</f>
        <v>0</v>
      </c>
      <c r="O16" s="134"/>
      <c r="P16" s="134"/>
      <c r="Q16" s="134">
        <v>1</v>
      </c>
      <c r="R16" s="134"/>
      <c r="S16" s="93"/>
      <c r="T16" s="144">
        <v>12</v>
      </c>
      <c r="U16" s="145" t="s">
        <v>81</v>
      </c>
      <c r="V16" s="149" t="s">
        <v>86</v>
      </c>
      <c r="W16" s="150">
        <f>'Raw Score Check'!N15</f>
        <v>0</v>
      </c>
      <c r="X16" s="89"/>
      <c r="Y16" s="154"/>
      <c r="AA16" s="73">
        <v>12</v>
      </c>
      <c r="AB16" s="145" t="s">
        <v>71</v>
      </c>
      <c r="AC16" s="92" t="s">
        <v>79</v>
      </c>
      <c r="AD16" s="93">
        <f>'Raw Score Check'!Q15</f>
        <v>0</v>
      </c>
      <c r="AE16" s="155"/>
      <c r="AF16" s="155"/>
    </row>
    <row r="17" spans="2:32" ht="32.25" customHeight="1">
      <c r="B17" s="73">
        <v>13</v>
      </c>
      <c r="C17" s="92" t="s">
        <v>40</v>
      </c>
      <c r="D17" s="92" t="s">
        <v>44</v>
      </c>
      <c r="E17" s="92">
        <f>'Raw Score Check'!H16</f>
        <v>0</v>
      </c>
      <c r="F17" s="134"/>
      <c r="G17" s="134"/>
      <c r="H17" s="134">
        <v>1</v>
      </c>
      <c r="I17" s="134"/>
      <c r="J17" s="93"/>
      <c r="K17" s="73">
        <v>13</v>
      </c>
      <c r="L17" s="92" t="s">
        <v>61</v>
      </c>
      <c r="M17" s="92" t="s">
        <v>62</v>
      </c>
      <c r="N17" s="92">
        <f>'Raw Score Check'!K16</f>
        <v>0</v>
      </c>
      <c r="O17" s="134">
        <v>1</v>
      </c>
      <c r="P17" s="134"/>
      <c r="Q17" s="134">
        <v>1</v>
      </c>
      <c r="R17" s="134"/>
      <c r="S17" s="93"/>
      <c r="T17" s="144">
        <v>13</v>
      </c>
      <c r="U17" s="145" t="s">
        <v>71</v>
      </c>
      <c r="V17" s="146" t="s">
        <v>74</v>
      </c>
      <c r="W17" s="147">
        <f>'Raw Score Check'!N16</f>
        <v>0</v>
      </c>
      <c r="X17" s="154"/>
      <c r="Y17" s="154"/>
      <c r="AA17" s="73">
        <v>13</v>
      </c>
      <c r="AB17" s="145" t="s">
        <v>71</v>
      </c>
      <c r="AC17" s="92" t="s">
        <v>80</v>
      </c>
      <c r="AD17" s="93">
        <f>'Raw Score Check'!Q16</f>
        <v>0</v>
      </c>
      <c r="AE17" s="155"/>
      <c r="AF17" s="155"/>
    </row>
    <row r="18" spans="2:32" ht="32.25" customHeight="1">
      <c r="B18" s="73">
        <v>14</v>
      </c>
      <c r="C18" s="92" t="s">
        <v>40</v>
      </c>
      <c r="D18" s="92" t="s">
        <v>46</v>
      </c>
      <c r="E18" s="92">
        <f>'Raw Score Check'!H17</f>
        <v>0</v>
      </c>
      <c r="F18" s="134">
        <v>1</v>
      </c>
      <c r="G18" s="134"/>
      <c r="H18" s="134">
        <v>1</v>
      </c>
      <c r="I18" s="134"/>
      <c r="J18" s="93"/>
      <c r="K18" s="73">
        <v>14</v>
      </c>
      <c r="L18" s="92" t="s">
        <v>65</v>
      </c>
      <c r="M18" s="92" t="s">
        <v>67</v>
      </c>
      <c r="N18" s="92">
        <f>'Raw Score Check'!K17</f>
        <v>0</v>
      </c>
      <c r="O18" s="134"/>
      <c r="P18" s="134"/>
      <c r="Q18" s="134"/>
      <c r="R18" s="134"/>
      <c r="S18" s="93"/>
      <c r="T18" s="144">
        <v>14</v>
      </c>
      <c r="U18" s="148" t="s">
        <v>81</v>
      </c>
      <c r="V18" s="149" t="s">
        <v>95</v>
      </c>
      <c r="W18" s="150">
        <f>'Raw Score Check'!N17</f>
        <v>0</v>
      </c>
      <c r="X18" s="89"/>
      <c r="Y18" s="154"/>
      <c r="AA18" s="73">
        <v>14</v>
      </c>
      <c r="AB18" s="92" t="s">
        <v>96</v>
      </c>
      <c r="AC18" s="92" t="s">
        <v>100</v>
      </c>
      <c r="AD18" s="93">
        <f>'Raw Score Check'!Q17</f>
        <v>0</v>
      </c>
      <c r="AE18" s="155">
        <v>1</v>
      </c>
      <c r="AF18" s="155"/>
    </row>
    <row r="19" spans="2:32" ht="32.25" customHeight="1">
      <c r="B19" s="73">
        <v>15</v>
      </c>
      <c r="C19" s="92" t="s">
        <v>40</v>
      </c>
      <c r="D19" s="92" t="s">
        <v>46</v>
      </c>
      <c r="E19" s="92">
        <f>'Raw Score Check'!H18</f>
        <v>0</v>
      </c>
      <c r="F19" s="134">
        <v>1</v>
      </c>
      <c r="G19" s="134"/>
      <c r="H19" s="134">
        <v>1</v>
      </c>
      <c r="I19" s="134"/>
      <c r="J19" s="93"/>
      <c r="K19" s="73">
        <v>15</v>
      </c>
      <c r="L19" s="92" t="s">
        <v>65</v>
      </c>
      <c r="M19" s="92" t="s">
        <v>68</v>
      </c>
      <c r="N19" s="92">
        <f>'Raw Score Check'!K18</f>
        <v>0</v>
      </c>
      <c r="O19" s="134"/>
      <c r="P19" s="134"/>
      <c r="Q19" s="134"/>
      <c r="R19" s="134"/>
      <c r="S19" s="93"/>
      <c r="T19" s="144">
        <v>15</v>
      </c>
      <c r="U19" s="145" t="s">
        <v>71</v>
      </c>
      <c r="V19" s="146" t="s">
        <v>74</v>
      </c>
      <c r="W19" s="147">
        <f>'Raw Score Check'!N18</f>
        <v>0</v>
      </c>
      <c r="X19" s="154"/>
      <c r="Y19" s="154"/>
      <c r="AA19" s="73">
        <v>15</v>
      </c>
      <c r="AB19" s="92" t="s">
        <v>96</v>
      </c>
      <c r="AC19" s="92" t="s">
        <v>104</v>
      </c>
      <c r="AD19" s="93">
        <f>'Raw Score Check'!Q18</f>
        <v>0</v>
      </c>
      <c r="AE19" s="155">
        <v>1</v>
      </c>
      <c r="AF19" s="155"/>
    </row>
    <row r="20" spans="2:32" ht="32.25" customHeight="1">
      <c r="B20" s="73">
        <v>16</v>
      </c>
      <c r="C20" s="92" t="s">
        <v>40</v>
      </c>
      <c r="D20" s="92" t="s">
        <v>43</v>
      </c>
      <c r="E20" s="92">
        <f>'Raw Score Check'!H19</f>
        <v>0</v>
      </c>
      <c r="F20" s="134"/>
      <c r="G20" s="134"/>
      <c r="H20" s="134">
        <v>1</v>
      </c>
      <c r="I20" s="134"/>
      <c r="J20" s="93"/>
      <c r="K20" s="73">
        <v>16</v>
      </c>
      <c r="L20" s="92" t="s">
        <v>61</v>
      </c>
      <c r="M20" s="92" t="s">
        <v>62</v>
      </c>
      <c r="N20" s="92">
        <f>'Raw Score Check'!K19</f>
        <v>0</v>
      </c>
      <c r="O20" s="134"/>
      <c r="P20" s="134">
        <v>1</v>
      </c>
      <c r="Q20" s="134">
        <v>1</v>
      </c>
      <c r="R20" s="134"/>
      <c r="S20" s="93"/>
      <c r="T20" s="144">
        <v>16</v>
      </c>
      <c r="U20" s="145" t="s">
        <v>71</v>
      </c>
      <c r="V20" s="149" t="s">
        <v>75</v>
      </c>
      <c r="W20" s="150">
        <f>'Raw Score Check'!N19</f>
        <v>0</v>
      </c>
      <c r="X20" s="89"/>
      <c r="Y20" s="154"/>
      <c r="AA20" s="73">
        <v>16</v>
      </c>
      <c r="AB20" s="92" t="s">
        <v>96</v>
      </c>
      <c r="AC20" s="92" t="s">
        <v>100</v>
      </c>
      <c r="AD20" s="93">
        <f>'Raw Score Check'!Q19</f>
        <v>0</v>
      </c>
      <c r="AE20" s="155"/>
      <c r="AF20" s="155">
        <v>1</v>
      </c>
    </row>
    <row r="21" spans="2:32" ht="43.5" customHeight="1">
      <c r="B21" s="73">
        <v>17</v>
      </c>
      <c r="C21" s="92" t="s">
        <v>40</v>
      </c>
      <c r="D21" s="92" t="s">
        <v>44</v>
      </c>
      <c r="E21" s="92">
        <f>'Raw Score Check'!H20</f>
        <v>0</v>
      </c>
      <c r="F21" s="134"/>
      <c r="G21" s="134"/>
      <c r="H21" s="134">
        <v>1</v>
      </c>
      <c r="I21" s="134"/>
      <c r="J21" s="93"/>
      <c r="K21" s="73">
        <v>17</v>
      </c>
      <c r="L21" s="92" t="s">
        <v>65</v>
      </c>
      <c r="M21" s="92" t="s">
        <v>68</v>
      </c>
      <c r="N21" s="92">
        <f>'Raw Score Check'!K20</f>
        <v>0</v>
      </c>
      <c r="O21" s="134"/>
      <c r="P21" s="134"/>
      <c r="Q21" s="134"/>
      <c r="R21" s="134"/>
      <c r="S21" s="93"/>
      <c r="T21" s="144">
        <v>17</v>
      </c>
      <c r="U21" s="145" t="s">
        <v>71</v>
      </c>
      <c r="V21" s="146" t="s">
        <v>72</v>
      </c>
      <c r="W21" s="147">
        <f>'Raw Score Check'!N20</f>
        <v>0</v>
      </c>
      <c r="X21" s="154"/>
      <c r="Y21" s="154"/>
      <c r="AA21" s="73">
        <v>17</v>
      </c>
      <c r="AB21" s="92" t="s">
        <v>96</v>
      </c>
      <c r="AC21" s="92" t="s">
        <v>101</v>
      </c>
      <c r="AD21" s="93">
        <f>'Raw Score Check'!Q20</f>
        <v>0</v>
      </c>
      <c r="AE21" s="155"/>
      <c r="AF21" s="155">
        <v>1</v>
      </c>
    </row>
    <row r="22" spans="2:32" ht="32.25" customHeight="1">
      <c r="B22" s="73">
        <v>18</v>
      </c>
      <c r="C22" s="92" t="s">
        <v>40</v>
      </c>
      <c r="D22" s="92" t="s">
        <v>42</v>
      </c>
      <c r="E22" s="92">
        <f>'Raw Score Check'!H21</f>
        <v>0</v>
      </c>
      <c r="F22" s="134"/>
      <c r="G22" s="134">
        <v>1</v>
      </c>
      <c r="H22" s="134">
        <v>1</v>
      </c>
      <c r="I22" s="134"/>
      <c r="J22" s="93"/>
      <c r="K22" s="73">
        <v>18</v>
      </c>
      <c r="L22" s="92" t="s">
        <v>61</v>
      </c>
      <c r="M22" s="92" t="s">
        <v>64</v>
      </c>
      <c r="N22" s="92">
        <f>'Raw Score Check'!K21</f>
        <v>0</v>
      </c>
      <c r="O22" s="134">
        <v>1</v>
      </c>
      <c r="P22" s="134"/>
      <c r="Q22" s="134">
        <v>1</v>
      </c>
      <c r="R22" s="134"/>
      <c r="S22" s="93"/>
      <c r="T22" s="144">
        <v>18</v>
      </c>
      <c r="U22" s="145" t="s">
        <v>71</v>
      </c>
      <c r="V22" s="149" t="s">
        <v>79</v>
      </c>
      <c r="W22" s="150">
        <f>'Raw Score Check'!N21</f>
        <v>0</v>
      </c>
      <c r="X22" s="89"/>
      <c r="Y22" s="154"/>
      <c r="AA22" s="73">
        <v>18</v>
      </c>
      <c r="AB22" s="92" t="s">
        <v>96</v>
      </c>
      <c r="AC22" s="92" t="s">
        <v>106</v>
      </c>
      <c r="AD22" s="93">
        <f>'Raw Score Check'!Q21</f>
        <v>0</v>
      </c>
      <c r="AE22" s="155"/>
      <c r="AF22" s="155">
        <v>1</v>
      </c>
    </row>
    <row r="23" spans="2:32" ht="32.25" customHeight="1">
      <c r="B23" s="73">
        <v>19</v>
      </c>
      <c r="C23" s="92" t="s">
        <v>58</v>
      </c>
      <c r="D23" s="92" t="s">
        <v>59</v>
      </c>
      <c r="E23" s="92">
        <f>'Raw Score Check'!H22</f>
        <v>0</v>
      </c>
      <c r="F23" s="134"/>
      <c r="G23" s="134"/>
      <c r="H23" s="134">
        <v>1</v>
      </c>
      <c r="I23" s="134"/>
      <c r="J23" s="93"/>
      <c r="K23" s="73">
        <v>19</v>
      </c>
      <c r="L23" s="92" t="s">
        <v>61</v>
      </c>
      <c r="M23" s="92" t="s">
        <v>62</v>
      </c>
      <c r="N23" s="92">
        <f>'Raw Score Check'!K22</f>
        <v>0</v>
      </c>
      <c r="O23" s="134"/>
      <c r="P23" s="134">
        <v>1</v>
      </c>
      <c r="Q23" s="134">
        <v>1</v>
      </c>
      <c r="R23" s="134"/>
      <c r="S23" s="93"/>
      <c r="T23" s="144">
        <v>19</v>
      </c>
      <c r="U23" s="145" t="s">
        <v>81</v>
      </c>
      <c r="V23" s="146" t="s">
        <v>89</v>
      </c>
      <c r="W23" s="147">
        <f>'Raw Score Check'!N22</f>
        <v>0</v>
      </c>
      <c r="X23" s="154"/>
      <c r="Y23" s="154"/>
      <c r="AA23" s="73">
        <v>19</v>
      </c>
      <c r="AB23" s="92" t="s">
        <v>96</v>
      </c>
      <c r="AC23" s="92" t="s">
        <v>109</v>
      </c>
      <c r="AD23" s="93">
        <f>'Raw Score Check'!Q22</f>
        <v>0</v>
      </c>
      <c r="AE23" s="155"/>
      <c r="AF23" s="155"/>
    </row>
    <row r="24" spans="2:32" ht="32.25" customHeight="1" thickBot="1">
      <c r="B24" s="73">
        <v>20</v>
      </c>
      <c r="C24" s="92" t="s">
        <v>58</v>
      </c>
      <c r="D24" s="92" t="s">
        <v>59</v>
      </c>
      <c r="E24" s="92">
        <f>'Raw Score Check'!H23</f>
        <v>0</v>
      </c>
      <c r="F24" s="134"/>
      <c r="G24" s="134"/>
      <c r="H24" s="134">
        <v>1</v>
      </c>
      <c r="I24" s="134"/>
      <c r="J24" s="93"/>
      <c r="K24" s="73">
        <v>20</v>
      </c>
      <c r="L24" s="92" t="s">
        <v>65</v>
      </c>
      <c r="M24" s="92" t="s">
        <v>67</v>
      </c>
      <c r="N24" s="92">
        <f>'Raw Score Check'!K23</f>
        <v>0</v>
      </c>
      <c r="O24" s="134"/>
      <c r="P24" s="134"/>
      <c r="Q24" s="134"/>
      <c r="R24" s="134"/>
      <c r="S24" s="93"/>
      <c r="T24" s="151">
        <v>20</v>
      </c>
      <c r="U24" s="152" t="s">
        <v>107</v>
      </c>
      <c r="V24" s="130" t="s">
        <v>112</v>
      </c>
      <c r="W24" s="131">
        <f>'Raw Score Check'!N23</f>
        <v>0</v>
      </c>
      <c r="X24" s="89"/>
      <c r="Y24" s="154"/>
      <c r="AA24" s="73">
        <v>20</v>
      </c>
      <c r="AB24" s="92" t="s">
        <v>96</v>
      </c>
      <c r="AC24" s="92" t="s">
        <v>102</v>
      </c>
      <c r="AD24" s="93">
        <f>'Raw Score Check'!Q23</f>
        <v>0</v>
      </c>
      <c r="AE24" s="155"/>
      <c r="AF24" s="155">
        <v>1</v>
      </c>
    </row>
    <row r="25" spans="2:32" ht="32.25" customHeight="1">
      <c r="B25" s="73">
        <v>21</v>
      </c>
      <c r="C25" s="92" t="s">
        <v>58</v>
      </c>
      <c r="D25" s="92" t="s">
        <v>59</v>
      </c>
      <c r="E25" s="92">
        <f>'Raw Score Check'!H24</f>
        <v>0</v>
      </c>
      <c r="F25" s="134"/>
      <c r="G25" s="134"/>
      <c r="H25" s="134">
        <v>1</v>
      </c>
      <c r="I25" s="134"/>
      <c r="J25" s="93"/>
      <c r="K25" s="73">
        <v>21</v>
      </c>
      <c r="L25" s="92" t="s">
        <v>65</v>
      </c>
      <c r="M25" s="92" t="s">
        <v>67</v>
      </c>
      <c r="N25" s="92">
        <f>'Raw Score Check'!K24</f>
        <v>0</v>
      </c>
      <c r="O25" s="134"/>
      <c r="P25" s="134"/>
      <c r="Q25" s="134"/>
      <c r="R25" s="134"/>
      <c r="S25" s="93"/>
      <c r="U25" s="92"/>
      <c r="V25" s="92"/>
      <c r="W25" s="92"/>
      <c r="X25" s="92"/>
      <c r="Y25" s="92"/>
      <c r="AA25" s="73">
        <v>21</v>
      </c>
      <c r="AB25" s="145" t="s">
        <v>81</v>
      </c>
      <c r="AC25" s="92" t="s">
        <v>83</v>
      </c>
      <c r="AD25" s="93">
        <f>'Raw Score Check'!Q24</f>
        <v>0</v>
      </c>
      <c r="AE25" s="155"/>
      <c r="AF25" s="155"/>
    </row>
    <row r="26" spans="2:32" ht="32.25" customHeight="1">
      <c r="B26" s="73">
        <v>22</v>
      </c>
      <c r="C26" s="92" t="s">
        <v>40</v>
      </c>
      <c r="D26" s="92" t="s">
        <v>46</v>
      </c>
      <c r="E26" s="92">
        <f>'Raw Score Check'!H25</f>
        <v>0</v>
      </c>
      <c r="F26" s="134">
        <v>1</v>
      </c>
      <c r="G26" s="134"/>
      <c r="H26" s="134"/>
      <c r="I26" s="134">
        <v>1</v>
      </c>
      <c r="J26" s="93"/>
      <c r="K26" s="73">
        <v>22</v>
      </c>
      <c r="L26" s="92" t="s">
        <v>61</v>
      </c>
      <c r="M26" s="92" t="s">
        <v>64</v>
      </c>
      <c r="N26" s="92">
        <f>'Raw Score Check'!K25</f>
        <v>0</v>
      </c>
      <c r="O26" s="134">
        <v>1</v>
      </c>
      <c r="P26" s="134"/>
      <c r="Q26" s="134">
        <v>1</v>
      </c>
      <c r="R26" s="134"/>
      <c r="S26" s="93"/>
      <c r="U26" s="92">
        <f>COUNTIF(Table4554[Category], "Passport to Advanced Mathematics")</f>
        <v>9</v>
      </c>
      <c r="V26" s="92"/>
      <c r="W26" s="92"/>
      <c r="X26" s="92"/>
      <c r="Y26" s="92"/>
      <c r="AA26" s="73">
        <v>22</v>
      </c>
      <c r="AB26" s="92" t="s">
        <v>96</v>
      </c>
      <c r="AC26" s="92" t="s">
        <v>98</v>
      </c>
      <c r="AD26" s="93">
        <f>'Raw Score Check'!Q25</f>
        <v>0</v>
      </c>
      <c r="AE26" s="155"/>
      <c r="AF26" s="155"/>
    </row>
    <row r="27" spans="2:32" ht="32.25" customHeight="1">
      <c r="B27" s="73">
        <v>23</v>
      </c>
      <c r="C27" s="92" t="s">
        <v>40</v>
      </c>
      <c r="D27" s="92" t="s">
        <v>41</v>
      </c>
      <c r="E27" s="92">
        <f>'Raw Score Check'!H26</f>
        <v>0</v>
      </c>
      <c r="F27" s="134"/>
      <c r="G27" s="134"/>
      <c r="H27" s="134"/>
      <c r="I27" s="134">
        <v>1</v>
      </c>
      <c r="J27" s="93"/>
      <c r="K27" s="73">
        <v>23</v>
      </c>
      <c r="L27" s="92" t="s">
        <v>65</v>
      </c>
      <c r="M27" s="92" t="s">
        <v>67</v>
      </c>
      <c r="N27" s="92">
        <f>'Raw Score Check'!K26</f>
        <v>0</v>
      </c>
      <c r="O27" s="134"/>
      <c r="P27" s="134"/>
      <c r="Q27" s="134"/>
      <c r="R27" s="134"/>
      <c r="S27" s="93"/>
      <c r="U27" s="92"/>
      <c r="V27" s="92"/>
      <c r="W27" s="92"/>
      <c r="X27" s="92"/>
      <c r="Y27" s="92"/>
      <c r="AA27" s="73">
        <v>23</v>
      </c>
      <c r="AB27" s="145" t="s">
        <v>71</v>
      </c>
      <c r="AC27" s="92" t="s">
        <v>73</v>
      </c>
      <c r="AD27" s="93">
        <f>'Raw Score Check'!Q26</f>
        <v>0</v>
      </c>
      <c r="AE27" s="155">
        <v>1</v>
      </c>
      <c r="AF27" s="155"/>
    </row>
    <row r="28" spans="2:32" ht="32.25" customHeight="1">
      <c r="B28" s="73">
        <v>24</v>
      </c>
      <c r="C28" s="92" t="s">
        <v>40</v>
      </c>
      <c r="D28" s="92" t="s">
        <v>44</v>
      </c>
      <c r="E28" s="92">
        <f>'Raw Score Check'!H27</f>
        <v>0</v>
      </c>
      <c r="F28" s="134"/>
      <c r="G28" s="134"/>
      <c r="H28" s="134"/>
      <c r="I28" s="134">
        <v>1</v>
      </c>
      <c r="J28" s="93"/>
      <c r="K28" s="73">
        <v>24</v>
      </c>
      <c r="L28" s="92" t="s">
        <v>61</v>
      </c>
      <c r="M28" s="92" t="s">
        <v>62</v>
      </c>
      <c r="N28" s="92">
        <f>'Raw Score Check'!K27</f>
        <v>0</v>
      </c>
      <c r="O28" s="134">
        <v>1</v>
      </c>
      <c r="P28" s="134"/>
      <c r="Q28" s="134"/>
      <c r="R28" s="134"/>
      <c r="S28" s="93"/>
      <c r="U28" s="92"/>
      <c r="V28" s="92"/>
      <c r="W28" s="92"/>
      <c r="X28" s="92"/>
      <c r="Y28" s="92"/>
      <c r="AA28" s="73">
        <v>24</v>
      </c>
      <c r="AB28" s="145" t="s">
        <v>71</v>
      </c>
      <c r="AC28" s="92" t="s">
        <v>74</v>
      </c>
      <c r="AD28" s="93">
        <f>'Raw Score Check'!Q27</f>
        <v>0</v>
      </c>
      <c r="AE28" s="155">
        <v>1</v>
      </c>
      <c r="AF28" s="155"/>
    </row>
    <row r="29" spans="2:32" ht="32.25" customHeight="1">
      <c r="B29" s="73">
        <v>25</v>
      </c>
      <c r="C29" s="92" t="s">
        <v>40</v>
      </c>
      <c r="D29" s="92" t="s">
        <v>42</v>
      </c>
      <c r="E29" s="92">
        <f>'Raw Score Check'!H28</f>
        <v>0</v>
      </c>
      <c r="F29" s="134"/>
      <c r="G29" s="134"/>
      <c r="H29" s="134"/>
      <c r="I29" s="134">
        <v>1</v>
      </c>
      <c r="J29" s="93"/>
      <c r="K29" s="73">
        <v>25</v>
      </c>
      <c r="L29" s="92" t="s">
        <v>61</v>
      </c>
      <c r="M29" s="92" t="s">
        <v>64</v>
      </c>
      <c r="N29" s="92">
        <f>'Raw Score Check'!K28</f>
        <v>0</v>
      </c>
      <c r="O29" s="134"/>
      <c r="P29" s="134"/>
      <c r="Q29" s="134"/>
      <c r="R29" s="134"/>
      <c r="S29" s="93"/>
      <c r="U29" s="92"/>
      <c r="V29" s="92"/>
      <c r="W29" s="92"/>
      <c r="X29" s="92"/>
      <c r="Y29" s="92"/>
      <c r="AA29" s="73">
        <v>25</v>
      </c>
      <c r="AB29" s="145" t="s">
        <v>71</v>
      </c>
      <c r="AC29" s="92" t="s">
        <v>75</v>
      </c>
      <c r="AD29" s="93">
        <f>'Raw Score Check'!Q28</f>
        <v>0</v>
      </c>
      <c r="AE29" s="155">
        <v>1</v>
      </c>
      <c r="AF29" s="155"/>
    </row>
    <row r="30" spans="2:32" ht="32.25" customHeight="1">
      <c r="B30" s="73">
        <v>26</v>
      </c>
      <c r="C30" s="92" t="s">
        <v>40</v>
      </c>
      <c r="D30" s="92" t="s">
        <v>45</v>
      </c>
      <c r="E30" s="92">
        <f>'Raw Score Check'!H29</f>
        <v>0</v>
      </c>
      <c r="F30" s="134"/>
      <c r="G30" s="134"/>
      <c r="H30" s="134"/>
      <c r="I30" s="134">
        <v>1</v>
      </c>
      <c r="J30" s="93"/>
      <c r="K30" s="73">
        <v>26</v>
      </c>
      <c r="L30" s="92" t="s">
        <v>65</v>
      </c>
      <c r="M30" s="92" t="s">
        <v>68</v>
      </c>
      <c r="N30" s="92">
        <f>'Raw Score Check'!K29</f>
        <v>0</v>
      </c>
      <c r="O30" s="134"/>
      <c r="P30" s="134"/>
      <c r="Q30" s="134"/>
      <c r="R30" s="134"/>
      <c r="S30" s="93"/>
      <c r="U30" s="92"/>
      <c r="V30" s="92"/>
      <c r="W30" s="92"/>
      <c r="X30" s="92"/>
      <c r="Y30" s="92"/>
      <c r="AA30" s="73">
        <v>26</v>
      </c>
      <c r="AB30" s="145" t="s">
        <v>81</v>
      </c>
      <c r="AC30" s="92" t="s">
        <v>88</v>
      </c>
      <c r="AD30" s="93">
        <f>'Raw Score Check'!Q29</f>
        <v>0</v>
      </c>
      <c r="AE30" s="155"/>
      <c r="AF30" s="155"/>
    </row>
    <row r="31" spans="2:32" ht="32.25" customHeight="1">
      <c r="B31" s="73">
        <v>27</v>
      </c>
      <c r="C31" s="92" t="s">
        <v>40</v>
      </c>
      <c r="D31" s="92" t="s">
        <v>42</v>
      </c>
      <c r="E31" s="92">
        <f>'Raw Score Check'!H30</f>
        <v>0</v>
      </c>
      <c r="F31" s="134"/>
      <c r="G31" s="134"/>
      <c r="H31" s="134"/>
      <c r="I31" s="134">
        <v>1</v>
      </c>
      <c r="J31" s="93"/>
      <c r="K31" s="73">
        <v>27</v>
      </c>
      <c r="L31" s="92" t="s">
        <v>61</v>
      </c>
      <c r="M31" s="92" t="s">
        <v>62</v>
      </c>
      <c r="N31" s="92">
        <f>'Raw Score Check'!K30</f>
        <v>0</v>
      </c>
      <c r="O31" s="134"/>
      <c r="P31" s="134">
        <v>1</v>
      </c>
      <c r="Q31" s="134"/>
      <c r="R31" s="134"/>
      <c r="S31" s="93"/>
      <c r="U31" s="92"/>
      <c r="V31" s="92"/>
      <c r="W31" s="92"/>
      <c r="X31" s="92"/>
      <c r="Y31" s="92"/>
      <c r="AA31" s="73">
        <v>27</v>
      </c>
      <c r="AB31" s="92" t="s">
        <v>96</v>
      </c>
      <c r="AC31" s="92" t="s">
        <v>105</v>
      </c>
      <c r="AD31" s="93">
        <f>'Raw Score Check'!Q30</f>
        <v>0</v>
      </c>
      <c r="AE31" s="155"/>
      <c r="AF31" s="155"/>
    </row>
    <row r="32" spans="2:32" ht="32.25" customHeight="1">
      <c r="B32" s="73">
        <v>28</v>
      </c>
      <c r="C32" s="92" t="s">
        <v>40</v>
      </c>
      <c r="D32" s="92" t="s">
        <v>41</v>
      </c>
      <c r="E32" s="92">
        <f>'Raw Score Check'!H31</f>
        <v>0</v>
      </c>
      <c r="F32" s="134"/>
      <c r="G32" s="134"/>
      <c r="H32" s="134"/>
      <c r="I32" s="134">
        <v>1</v>
      </c>
      <c r="J32" s="93"/>
      <c r="K32" s="73">
        <v>28</v>
      </c>
      <c r="L32" s="92" t="s">
        <v>61</v>
      </c>
      <c r="M32" s="92" t="s">
        <v>64</v>
      </c>
      <c r="N32" s="92">
        <f>'Raw Score Check'!K31</f>
        <v>0</v>
      </c>
      <c r="O32" s="134"/>
      <c r="P32" s="134"/>
      <c r="Q32" s="134"/>
      <c r="R32" s="134"/>
      <c r="S32" s="93"/>
      <c r="U32" s="92"/>
      <c r="V32" s="92"/>
      <c r="W32" s="92"/>
      <c r="X32" s="92"/>
      <c r="Y32" s="92"/>
      <c r="AA32" s="73">
        <v>28</v>
      </c>
      <c r="AB32" s="145" t="s">
        <v>71</v>
      </c>
      <c r="AC32" s="92" t="s">
        <v>76</v>
      </c>
      <c r="AD32" s="93">
        <f>'Raw Score Check'!Q31</f>
        <v>0</v>
      </c>
      <c r="AE32" s="155"/>
      <c r="AF32" s="155"/>
    </row>
    <row r="33" spans="2:32" ht="32.25" customHeight="1">
      <c r="B33" s="73">
        <v>29</v>
      </c>
      <c r="C33" s="92" t="s">
        <v>40</v>
      </c>
      <c r="D33" s="92" t="s">
        <v>46</v>
      </c>
      <c r="E33" s="92">
        <f>'Raw Score Check'!H32</f>
        <v>0</v>
      </c>
      <c r="F33" s="134">
        <v>1</v>
      </c>
      <c r="G33" s="134"/>
      <c r="H33" s="134"/>
      <c r="I33" s="134">
        <v>1</v>
      </c>
      <c r="J33" s="93"/>
      <c r="K33" s="73">
        <v>29</v>
      </c>
      <c r="L33" s="92" t="s">
        <v>65</v>
      </c>
      <c r="M33" s="92" t="s">
        <v>66</v>
      </c>
      <c r="N33" s="92">
        <f>'Raw Score Check'!K32</f>
        <v>0</v>
      </c>
      <c r="O33" s="134"/>
      <c r="P33" s="134"/>
      <c r="Q33" s="134"/>
      <c r="R33" s="134"/>
      <c r="S33" s="93"/>
      <c r="U33" s="92"/>
      <c r="V33" s="92"/>
      <c r="W33" s="92"/>
      <c r="X33" s="92"/>
      <c r="Y33" s="92"/>
      <c r="AA33" s="73">
        <v>29</v>
      </c>
      <c r="AB33" s="92" t="s">
        <v>107</v>
      </c>
      <c r="AC33" s="92" t="s">
        <v>114</v>
      </c>
      <c r="AD33" s="93">
        <f>'Raw Score Check'!Q32</f>
        <v>0</v>
      </c>
      <c r="AE33" s="155"/>
      <c r="AF33" s="155"/>
    </row>
    <row r="34" spans="2:32" ht="32.25" customHeight="1">
      <c r="B34" s="73">
        <v>30</v>
      </c>
      <c r="C34" s="92" t="s">
        <v>58</v>
      </c>
      <c r="D34" s="92" t="s">
        <v>60</v>
      </c>
      <c r="E34" s="92">
        <f>'Raw Score Check'!H33</f>
        <v>0</v>
      </c>
      <c r="F34" s="134"/>
      <c r="G34" s="134">
        <v>1</v>
      </c>
      <c r="H34" s="134"/>
      <c r="I34" s="134">
        <v>1</v>
      </c>
      <c r="J34" s="93"/>
      <c r="K34" s="73">
        <v>30</v>
      </c>
      <c r="L34" s="92" t="s">
        <v>65</v>
      </c>
      <c r="M34" s="92" t="s">
        <v>66</v>
      </c>
      <c r="N34" s="92">
        <f>'Raw Score Check'!K33</f>
        <v>0</v>
      </c>
      <c r="O34" s="134"/>
      <c r="P34" s="134"/>
      <c r="Q34" s="134"/>
      <c r="R34" s="134"/>
      <c r="S34" s="93"/>
      <c r="U34" s="92"/>
      <c r="V34" s="92"/>
      <c r="W34" s="92"/>
      <c r="X34" s="92"/>
      <c r="Y34" s="92"/>
      <c r="AA34" s="73">
        <v>30</v>
      </c>
      <c r="AB34" s="145" t="s">
        <v>81</v>
      </c>
      <c r="AC34" s="92" t="s">
        <v>85</v>
      </c>
      <c r="AD34" s="93">
        <f>'Raw Score Check'!Q33</f>
        <v>0</v>
      </c>
      <c r="AE34" s="155"/>
      <c r="AF34" s="155"/>
    </row>
    <row r="35" spans="2:32" ht="32.25" customHeight="1">
      <c r="B35" s="73">
        <v>31</v>
      </c>
      <c r="C35" s="92" t="s">
        <v>58</v>
      </c>
      <c r="D35" s="92" t="s">
        <v>60</v>
      </c>
      <c r="E35" s="92">
        <f>'Raw Score Check'!H34</f>
        <v>0</v>
      </c>
      <c r="F35" s="134"/>
      <c r="G35" s="134">
        <v>1</v>
      </c>
      <c r="H35" s="134"/>
      <c r="I35" s="134">
        <v>1</v>
      </c>
      <c r="J35" s="93"/>
      <c r="K35" s="73">
        <v>31</v>
      </c>
      <c r="L35" s="92" t="s">
        <v>65</v>
      </c>
      <c r="M35" s="92" t="s">
        <v>67</v>
      </c>
      <c r="N35" s="92">
        <f>'Raw Score Check'!K34</f>
        <v>0</v>
      </c>
      <c r="O35" s="134"/>
      <c r="P35" s="134"/>
      <c r="Q35" s="134"/>
      <c r="R35" s="134"/>
      <c r="S35" s="93"/>
      <c r="U35" s="92"/>
      <c r="V35" s="92"/>
      <c r="W35" s="92"/>
      <c r="X35" s="92"/>
      <c r="Y35" s="92"/>
      <c r="AA35" s="73">
        <v>31</v>
      </c>
      <c r="AB35" s="92" t="s">
        <v>96</v>
      </c>
      <c r="AC35" s="92" t="s">
        <v>99</v>
      </c>
      <c r="AD35" s="93">
        <f>'Raw Score Check'!Q34</f>
        <v>0</v>
      </c>
      <c r="AE35" s="155"/>
      <c r="AF35" s="155">
        <v>1</v>
      </c>
    </row>
    <row r="36" spans="2:32" ht="32.25" customHeight="1">
      <c r="B36" s="73">
        <v>32</v>
      </c>
      <c r="C36" s="92" t="s">
        <v>52</v>
      </c>
      <c r="D36" s="92" t="s">
        <v>54</v>
      </c>
      <c r="E36" s="92">
        <f>'Raw Score Check'!H35</f>
        <v>0</v>
      </c>
      <c r="F36" s="134"/>
      <c r="G36" s="134"/>
      <c r="H36" s="134">
        <v>1</v>
      </c>
      <c r="I36" s="134"/>
      <c r="J36" s="93"/>
      <c r="K36" s="73">
        <v>32</v>
      </c>
      <c r="L36" s="92" t="s">
        <v>61</v>
      </c>
      <c r="M36" s="92" t="s">
        <v>63</v>
      </c>
      <c r="N36" s="92">
        <f>'Raw Score Check'!K35</f>
        <v>0</v>
      </c>
      <c r="O36" s="134"/>
      <c r="P36" s="134"/>
      <c r="Q36" s="134"/>
      <c r="R36" s="134"/>
      <c r="S36" s="93"/>
      <c r="U36" s="92"/>
      <c r="V36" s="92"/>
      <c r="W36" s="92"/>
      <c r="X36" s="92"/>
      <c r="Y36" s="92"/>
      <c r="AA36" s="73">
        <v>32</v>
      </c>
      <c r="AB36" s="92" t="s">
        <v>96</v>
      </c>
      <c r="AC36" s="92" t="s">
        <v>97</v>
      </c>
      <c r="AD36" s="93">
        <f>'Raw Score Check'!Q35</f>
        <v>0</v>
      </c>
      <c r="AE36" s="155">
        <v>1</v>
      </c>
      <c r="AF36" s="155"/>
    </row>
    <row r="37" spans="2:32" ht="32.25" customHeight="1">
      <c r="B37" s="73">
        <v>33</v>
      </c>
      <c r="C37" s="92" t="s">
        <v>40</v>
      </c>
      <c r="D37" s="92" t="s">
        <v>41</v>
      </c>
      <c r="E37" s="92">
        <f>'Raw Score Check'!H36</f>
        <v>0</v>
      </c>
      <c r="F37" s="134"/>
      <c r="G37" s="134"/>
      <c r="H37" s="134">
        <v>1</v>
      </c>
      <c r="I37" s="134"/>
      <c r="J37" s="93"/>
      <c r="K37" s="73">
        <v>33</v>
      </c>
      <c r="L37" s="92" t="s">
        <v>61</v>
      </c>
      <c r="M37" s="92" t="s">
        <v>62</v>
      </c>
      <c r="N37" s="92">
        <f>'Raw Score Check'!K36</f>
        <v>0</v>
      </c>
      <c r="O37" s="134"/>
      <c r="P37" s="134">
        <v>1</v>
      </c>
      <c r="Q37" s="134"/>
      <c r="R37" s="134"/>
      <c r="S37" s="93"/>
      <c r="U37" s="92"/>
      <c r="V37" s="92"/>
      <c r="W37" s="92"/>
      <c r="X37" s="92"/>
      <c r="Y37" s="92"/>
      <c r="AA37" s="73">
        <v>33</v>
      </c>
      <c r="AB37" s="145" t="s">
        <v>71</v>
      </c>
      <c r="AC37" s="92" t="s">
        <v>73</v>
      </c>
      <c r="AD37" s="93">
        <f>'Raw Score Check'!Q36</f>
        <v>0</v>
      </c>
      <c r="AE37" s="155"/>
      <c r="AF37" s="155"/>
    </row>
    <row r="38" spans="2:32" ht="32.25" customHeight="1">
      <c r="B38" s="73">
        <v>34</v>
      </c>
      <c r="C38" s="92" t="s">
        <v>40</v>
      </c>
      <c r="D38" s="92" t="s">
        <v>42</v>
      </c>
      <c r="E38" s="92">
        <f>'Raw Score Check'!H37</f>
        <v>0</v>
      </c>
      <c r="F38" s="134"/>
      <c r="G38" s="134">
        <v>1</v>
      </c>
      <c r="H38" s="134">
        <v>1</v>
      </c>
      <c r="I38" s="134"/>
      <c r="J38" s="93"/>
      <c r="K38" s="73">
        <v>34</v>
      </c>
      <c r="L38" s="92" t="s">
        <v>61</v>
      </c>
      <c r="M38" s="92" t="s">
        <v>63</v>
      </c>
      <c r="N38" s="92">
        <f>'Raw Score Check'!K37</f>
        <v>0</v>
      </c>
      <c r="O38" s="134"/>
      <c r="P38" s="134"/>
      <c r="Q38" s="134"/>
      <c r="R38" s="134"/>
      <c r="S38" s="93"/>
      <c r="U38" s="92"/>
      <c r="V38" s="92"/>
      <c r="W38" s="92"/>
      <c r="X38" s="92"/>
      <c r="Y38" s="92"/>
      <c r="AA38" s="73">
        <v>34</v>
      </c>
      <c r="AB38" s="145" t="s">
        <v>81</v>
      </c>
      <c r="AC38" s="92" t="s">
        <v>91</v>
      </c>
      <c r="AD38" s="93">
        <f>'Raw Score Check'!Q37</f>
        <v>0</v>
      </c>
      <c r="AE38" s="155"/>
      <c r="AF38" s="155"/>
    </row>
    <row r="39" spans="2:32" ht="32.25" customHeight="1">
      <c r="B39" s="73">
        <v>35</v>
      </c>
      <c r="C39" s="92" t="s">
        <v>52</v>
      </c>
      <c r="D39" s="92" t="s">
        <v>55</v>
      </c>
      <c r="E39" s="92">
        <f>'Raw Score Check'!H38</f>
        <v>0</v>
      </c>
      <c r="F39" s="134"/>
      <c r="G39" s="134"/>
      <c r="H39" s="134">
        <v>1</v>
      </c>
      <c r="I39" s="134"/>
      <c r="J39" s="93"/>
      <c r="K39" s="73">
        <v>35</v>
      </c>
      <c r="L39" s="92" t="s">
        <v>65</v>
      </c>
      <c r="M39" s="92" t="s">
        <v>68</v>
      </c>
      <c r="N39" s="92">
        <f>'Raw Score Check'!K38</f>
        <v>0</v>
      </c>
      <c r="O39" s="134"/>
      <c r="P39" s="134"/>
      <c r="Q39" s="134"/>
      <c r="R39" s="134"/>
      <c r="S39" s="93"/>
      <c r="U39" s="92"/>
      <c r="V39" s="92"/>
      <c r="W39" s="92"/>
      <c r="X39" s="92"/>
      <c r="Y39" s="92"/>
      <c r="AA39" s="73">
        <v>35</v>
      </c>
      <c r="AB39" s="145" t="s">
        <v>81</v>
      </c>
      <c r="AC39" s="92" t="s">
        <v>94</v>
      </c>
      <c r="AD39" s="93">
        <f>'Raw Score Check'!Q38</f>
        <v>0</v>
      </c>
      <c r="AE39" s="155"/>
      <c r="AF39" s="155"/>
    </row>
    <row r="40" spans="2:32" ht="32.25" customHeight="1">
      <c r="B40" s="73">
        <v>36</v>
      </c>
      <c r="C40" s="92" t="s">
        <v>52</v>
      </c>
      <c r="D40" s="92" t="s">
        <v>57</v>
      </c>
      <c r="E40" s="92">
        <f>'Raw Score Check'!H39</f>
        <v>0</v>
      </c>
      <c r="F40" s="134"/>
      <c r="G40" s="134"/>
      <c r="H40" s="134">
        <v>1</v>
      </c>
      <c r="I40" s="134"/>
      <c r="J40" s="93"/>
      <c r="K40" s="73">
        <v>36</v>
      </c>
      <c r="L40" s="92" t="s">
        <v>65</v>
      </c>
      <c r="M40" s="92" t="s">
        <v>67</v>
      </c>
      <c r="N40" s="92">
        <f>'Raw Score Check'!K39</f>
        <v>0</v>
      </c>
      <c r="O40" s="134"/>
      <c r="P40" s="134"/>
      <c r="Q40" s="134"/>
      <c r="R40" s="134"/>
      <c r="S40" s="93"/>
      <c r="U40" s="92"/>
      <c r="V40" s="92"/>
      <c r="W40" s="92"/>
      <c r="X40" s="92"/>
      <c r="Y40" s="92"/>
      <c r="AA40" s="73">
        <v>36</v>
      </c>
      <c r="AB40" s="92" t="s">
        <v>107</v>
      </c>
      <c r="AC40" s="92" t="s">
        <v>113</v>
      </c>
      <c r="AD40" s="93">
        <f>'Raw Score Check'!Q39</f>
        <v>0</v>
      </c>
      <c r="AE40" s="155"/>
      <c r="AF40" s="155"/>
    </row>
    <row r="41" spans="2:32" ht="32.25" customHeight="1">
      <c r="B41" s="73">
        <v>37</v>
      </c>
      <c r="C41" s="92" t="s">
        <v>40</v>
      </c>
      <c r="D41" s="92" t="s">
        <v>46</v>
      </c>
      <c r="E41" s="92">
        <f>'Raw Score Check'!H40</f>
        <v>0</v>
      </c>
      <c r="F41" s="134">
        <v>1</v>
      </c>
      <c r="G41" s="134"/>
      <c r="H41" s="134">
        <v>1</v>
      </c>
      <c r="I41" s="134"/>
      <c r="J41" s="93"/>
      <c r="K41" s="73">
        <v>37</v>
      </c>
      <c r="L41" s="92" t="s">
        <v>61</v>
      </c>
      <c r="M41" s="92" t="s">
        <v>64</v>
      </c>
      <c r="N41" s="92">
        <f>'Raw Score Check'!K40</f>
        <v>0</v>
      </c>
      <c r="O41" s="134">
        <v>1</v>
      </c>
      <c r="P41" s="134"/>
      <c r="Q41" s="134"/>
      <c r="R41" s="134"/>
      <c r="S41" s="93"/>
      <c r="U41" s="92"/>
      <c r="V41" s="92"/>
      <c r="W41" s="92"/>
      <c r="X41" s="92"/>
      <c r="Y41" s="92"/>
      <c r="AA41" s="73">
        <v>37</v>
      </c>
      <c r="AB41" s="92" t="s">
        <v>96</v>
      </c>
      <c r="AC41" s="92" t="s">
        <v>97</v>
      </c>
      <c r="AD41" s="93">
        <f>'Raw Score Check'!Q40</f>
        <v>0</v>
      </c>
      <c r="AE41" s="155"/>
      <c r="AF41" s="155"/>
    </row>
    <row r="42" spans="2:32" ht="32.25" customHeight="1" thickBot="1">
      <c r="B42" s="73">
        <v>38</v>
      </c>
      <c r="C42" s="92" t="s">
        <v>40</v>
      </c>
      <c r="D42" s="92" t="s">
        <v>46</v>
      </c>
      <c r="E42" s="92">
        <f>'Raw Score Check'!H41</f>
        <v>0</v>
      </c>
      <c r="F42" s="134">
        <v>1</v>
      </c>
      <c r="G42" s="134"/>
      <c r="H42" s="134">
        <v>1</v>
      </c>
      <c r="I42" s="134"/>
      <c r="J42" s="93"/>
      <c r="K42" s="73">
        <v>38</v>
      </c>
      <c r="L42" s="92" t="s">
        <v>61</v>
      </c>
      <c r="M42" s="92" t="s">
        <v>62</v>
      </c>
      <c r="N42" s="92">
        <f>'Raw Score Check'!K41</f>
        <v>0</v>
      </c>
      <c r="O42" s="134"/>
      <c r="P42" s="134">
        <v>1</v>
      </c>
      <c r="Q42" s="134"/>
      <c r="R42" s="134"/>
      <c r="S42" s="93"/>
      <c r="U42" s="92"/>
      <c r="V42" s="92"/>
      <c r="W42" s="92"/>
      <c r="X42" s="92"/>
      <c r="Y42" s="92"/>
      <c r="AA42" s="74">
        <v>38</v>
      </c>
      <c r="AB42" s="92" t="s">
        <v>96</v>
      </c>
      <c r="AC42" s="92" t="s">
        <v>97</v>
      </c>
      <c r="AD42" s="93">
        <f>'Raw Score Check'!Q41</f>
        <v>0</v>
      </c>
      <c r="AE42" s="155"/>
      <c r="AF42" s="155"/>
    </row>
    <row r="43" spans="2:32" ht="32.25" customHeight="1">
      <c r="B43" s="73">
        <v>39</v>
      </c>
      <c r="C43" s="92" t="s">
        <v>58</v>
      </c>
      <c r="D43" s="92" t="s">
        <v>60</v>
      </c>
      <c r="E43" s="92">
        <f>'Raw Score Check'!H42</f>
        <v>0</v>
      </c>
      <c r="F43" s="134"/>
      <c r="G43" s="134">
        <v>1</v>
      </c>
      <c r="H43" s="134">
        <v>1</v>
      </c>
      <c r="I43" s="134"/>
      <c r="J43" s="93"/>
      <c r="K43" s="73">
        <v>39</v>
      </c>
      <c r="L43" s="92" t="s">
        <v>61</v>
      </c>
      <c r="M43" s="92" t="s">
        <v>64</v>
      </c>
      <c r="N43" s="92">
        <f>'Raw Score Check'!K42</f>
        <v>0</v>
      </c>
      <c r="O43" s="134">
        <v>1</v>
      </c>
      <c r="P43" s="134"/>
      <c r="Q43" s="134"/>
      <c r="R43" s="134"/>
      <c r="S43" s="93"/>
      <c r="U43" s="92"/>
      <c r="V43" s="92"/>
      <c r="W43" s="92"/>
      <c r="X43" s="92"/>
      <c r="Y43" s="92"/>
      <c r="AB43" s="92"/>
      <c r="AC43" s="92"/>
    </row>
    <row r="44" spans="2:32" ht="32.25" customHeight="1">
      <c r="B44" s="73">
        <v>40</v>
      </c>
      <c r="C44" s="92" t="s">
        <v>58</v>
      </c>
      <c r="D44" s="92" t="s">
        <v>60</v>
      </c>
      <c r="E44" s="92">
        <f>'Raw Score Check'!H43</f>
        <v>0</v>
      </c>
      <c r="F44" s="134"/>
      <c r="G44" s="134"/>
      <c r="H44" s="134">
        <v>1</v>
      </c>
      <c r="I44" s="134"/>
      <c r="J44" s="93"/>
      <c r="K44" s="73">
        <v>40</v>
      </c>
      <c r="L44" s="92" t="s">
        <v>65</v>
      </c>
      <c r="M44" s="92" t="s">
        <v>67</v>
      </c>
      <c r="N44" s="92">
        <f>'Raw Score Check'!K43</f>
        <v>0</v>
      </c>
      <c r="O44" s="134"/>
      <c r="P44" s="134"/>
      <c r="Q44" s="134"/>
      <c r="R44" s="134"/>
      <c r="S44" s="93"/>
      <c r="U44" s="92"/>
      <c r="V44" s="92"/>
      <c r="W44" s="92"/>
      <c r="X44" s="92"/>
      <c r="Y44" s="92"/>
      <c r="AB44" s="92"/>
      <c r="AC44" s="92"/>
    </row>
    <row r="45" spans="2:32" ht="32.25" customHeight="1">
      <c r="B45" s="73">
        <v>41</v>
      </c>
      <c r="C45" s="92" t="s">
        <v>58</v>
      </c>
      <c r="D45" s="92" t="s">
        <v>60</v>
      </c>
      <c r="E45" s="92">
        <f>'Raw Score Check'!H44</f>
        <v>0</v>
      </c>
      <c r="F45" s="134"/>
      <c r="G45" s="134"/>
      <c r="H45" s="134">
        <v>1</v>
      </c>
      <c r="I45" s="134"/>
      <c r="J45" s="93"/>
      <c r="K45" s="73">
        <v>41</v>
      </c>
      <c r="L45" s="92" t="s">
        <v>61</v>
      </c>
      <c r="M45" s="92" t="s">
        <v>62</v>
      </c>
      <c r="N45" s="92">
        <f>'Raw Score Check'!K44</f>
        <v>0</v>
      </c>
      <c r="O45" s="134"/>
      <c r="P45" s="134">
        <v>1</v>
      </c>
      <c r="Q45" s="134"/>
      <c r="R45" s="134"/>
      <c r="S45" s="93"/>
      <c r="U45" s="92"/>
      <c r="V45" s="92"/>
      <c r="W45" s="92"/>
      <c r="X45" s="92"/>
      <c r="Y45" s="92"/>
      <c r="AB45" s="92"/>
      <c r="AC45" s="92"/>
    </row>
    <row r="46" spans="2:32" ht="32.25" customHeight="1">
      <c r="B46" s="73">
        <v>42</v>
      </c>
      <c r="C46" s="92" t="s">
        <v>40</v>
      </c>
      <c r="D46" s="92" t="s">
        <v>41</v>
      </c>
      <c r="E46" s="92">
        <f>'Raw Score Check'!H45</f>
        <v>0</v>
      </c>
      <c r="F46" s="134"/>
      <c r="G46" s="134"/>
      <c r="H46" s="134"/>
      <c r="I46" s="134">
        <v>1</v>
      </c>
      <c r="J46" s="93"/>
      <c r="K46" s="73">
        <v>42</v>
      </c>
      <c r="L46" s="92" t="s">
        <v>65</v>
      </c>
      <c r="M46" s="92" t="s">
        <v>68</v>
      </c>
      <c r="N46" s="92">
        <f>'Raw Score Check'!K45</f>
        <v>0</v>
      </c>
      <c r="O46" s="134"/>
      <c r="P46" s="134"/>
      <c r="Q46" s="134"/>
      <c r="R46" s="134"/>
      <c r="S46" s="93"/>
      <c r="U46" s="92"/>
      <c r="V46" s="92"/>
      <c r="W46" s="92"/>
      <c r="X46" s="92"/>
      <c r="Y46" s="92"/>
      <c r="AB46" s="92"/>
      <c r="AC46" s="92"/>
    </row>
    <row r="47" spans="2:32" ht="32.25" customHeight="1">
      <c r="B47" s="73">
        <v>43</v>
      </c>
      <c r="C47" s="92" t="s">
        <v>40</v>
      </c>
      <c r="D47" s="92" t="s">
        <v>42</v>
      </c>
      <c r="E47" s="92">
        <f>'Raw Score Check'!H46</f>
        <v>0</v>
      </c>
      <c r="F47" s="134"/>
      <c r="G47" s="134">
        <v>1</v>
      </c>
      <c r="H47" s="134"/>
      <c r="I47" s="134">
        <v>1</v>
      </c>
      <c r="J47" s="93"/>
      <c r="K47" s="73">
        <v>43</v>
      </c>
      <c r="L47" s="92" t="s">
        <v>61</v>
      </c>
      <c r="M47" s="92" t="s">
        <v>64</v>
      </c>
      <c r="N47" s="92">
        <f>'Raw Score Check'!K46</f>
        <v>0</v>
      </c>
      <c r="O47" s="134"/>
      <c r="P47" s="134"/>
      <c r="Q47" s="134"/>
      <c r="R47" s="134"/>
      <c r="S47" s="93"/>
      <c r="U47" s="92"/>
      <c r="V47" s="92"/>
      <c r="W47" s="92"/>
      <c r="X47" s="92"/>
      <c r="Y47" s="92"/>
      <c r="AB47" s="92"/>
      <c r="AC47" s="92"/>
    </row>
    <row r="48" spans="2:32" ht="32.25" customHeight="1" thickBot="1">
      <c r="B48" s="73">
        <v>44</v>
      </c>
      <c r="C48" s="92" t="s">
        <v>40</v>
      </c>
      <c r="D48" s="92" t="s">
        <v>46</v>
      </c>
      <c r="E48" s="92">
        <f>'Raw Score Check'!H47</f>
        <v>0</v>
      </c>
      <c r="F48" s="134">
        <v>1</v>
      </c>
      <c r="G48" s="134"/>
      <c r="H48" s="134"/>
      <c r="I48" s="134">
        <v>1</v>
      </c>
      <c r="J48" s="93"/>
      <c r="K48" s="74">
        <v>44</v>
      </c>
      <c r="L48" s="92" t="s">
        <v>65</v>
      </c>
      <c r="M48" s="92" t="s">
        <v>66</v>
      </c>
      <c r="N48" s="92">
        <f>'Raw Score Check'!K47</f>
        <v>0</v>
      </c>
      <c r="O48" s="134"/>
      <c r="P48" s="134"/>
      <c r="Q48" s="134"/>
      <c r="R48" s="134"/>
      <c r="S48" s="93"/>
      <c r="U48" s="92"/>
      <c r="V48" s="92"/>
      <c r="W48" s="92"/>
      <c r="X48" s="92"/>
      <c r="Y48" s="92"/>
      <c r="AB48" s="92"/>
      <c r="AC48" s="92"/>
    </row>
    <row r="49" spans="2:25" ht="32.25" customHeight="1">
      <c r="B49" s="73">
        <v>45</v>
      </c>
      <c r="C49" s="92" t="s">
        <v>52</v>
      </c>
      <c r="D49" s="92" t="s">
        <v>57</v>
      </c>
      <c r="E49" s="92">
        <f>'Raw Score Check'!H48</f>
        <v>0</v>
      </c>
      <c r="F49" s="134"/>
      <c r="G49" s="134"/>
      <c r="H49" s="134"/>
      <c r="I49" s="134">
        <v>1</v>
      </c>
      <c r="J49" s="93"/>
      <c r="L49" s="92"/>
      <c r="M49" s="92"/>
      <c r="Q49" s="92"/>
      <c r="V49" s="92"/>
      <c r="W49" s="92"/>
      <c r="X49" s="92"/>
      <c r="Y49" s="92"/>
    </row>
    <row r="50" spans="2:25" ht="32.25" customHeight="1">
      <c r="B50" s="73">
        <v>46</v>
      </c>
      <c r="C50" s="92" t="s">
        <v>40</v>
      </c>
      <c r="D50" s="92" t="s">
        <v>42</v>
      </c>
      <c r="E50" s="92">
        <f>'Raw Score Check'!H49</f>
        <v>0</v>
      </c>
      <c r="F50" s="134"/>
      <c r="G50" s="134">
        <v>1</v>
      </c>
      <c r="H50" s="134"/>
      <c r="I50" s="134">
        <v>1</v>
      </c>
      <c r="J50" s="93"/>
      <c r="L50" s="132" t="s">
        <v>125</v>
      </c>
      <c r="M50" s="92" t="s">
        <v>47</v>
      </c>
      <c r="P50" s="93" t="s">
        <v>48</v>
      </c>
      <c r="Q50" s="92"/>
      <c r="V50" s="92"/>
      <c r="W50" s="92"/>
      <c r="X50" s="92"/>
      <c r="Y50" s="92"/>
    </row>
    <row r="51" spans="2:25" ht="32.25" customHeight="1">
      <c r="B51" s="73">
        <v>47</v>
      </c>
      <c r="C51" s="92" t="s">
        <v>40</v>
      </c>
      <c r="D51" s="92" t="s">
        <v>46</v>
      </c>
      <c r="E51" s="92">
        <f>'Raw Score Check'!H50</f>
        <v>0</v>
      </c>
      <c r="F51" s="134">
        <v>1</v>
      </c>
      <c r="G51" s="134"/>
      <c r="H51" s="134"/>
      <c r="I51" s="134">
        <v>1</v>
      </c>
      <c r="J51" s="93"/>
      <c r="L51" s="92" t="s">
        <v>41</v>
      </c>
      <c r="M51" s="92"/>
      <c r="Q51" s="92"/>
      <c r="V51" s="92"/>
      <c r="W51" s="92"/>
      <c r="X51" s="92"/>
      <c r="Y51" s="92"/>
    </row>
    <row r="52" spans="2:25" ht="32.25" customHeight="1">
      <c r="B52" s="73">
        <v>48</v>
      </c>
      <c r="C52" s="92" t="s">
        <v>52</v>
      </c>
      <c r="D52" s="92" t="s">
        <v>56</v>
      </c>
      <c r="E52" s="92">
        <f>'Raw Score Check'!H51</f>
        <v>0</v>
      </c>
      <c r="F52" s="134"/>
      <c r="G52" s="134"/>
      <c r="H52" s="134"/>
      <c r="I52" s="134">
        <v>1</v>
      </c>
      <c r="J52" s="93"/>
      <c r="L52" s="92"/>
      <c r="M52" s="92"/>
      <c r="Q52" s="92"/>
      <c r="V52" s="92"/>
      <c r="W52" s="92"/>
      <c r="X52" s="92"/>
      <c r="Y52" s="92"/>
    </row>
    <row r="53" spans="2:25" ht="32.25" customHeight="1">
      <c r="B53" s="73">
        <v>49</v>
      </c>
      <c r="C53" s="92" t="s">
        <v>40</v>
      </c>
      <c r="D53" s="92" t="s">
        <v>45</v>
      </c>
      <c r="E53" s="92">
        <f>'Raw Score Check'!H52</f>
        <v>0</v>
      </c>
      <c r="F53" s="134"/>
      <c r="G53" s="134"/>
      <c r="H53" s="134"/>
      <c r="I53" s="134">
        <v>1</v>
      </c>
      <c r="J53" s="93"/>
      <c r="L53" s="92"/>
      <c r="M53" s="92"/>
      <c r="Q53" s="92"/>
      <c r="V53" s="92"/>
      <c r="W53" s="92"/>
      <c r="X53" s="92"/>
      <c r="Y53" s="92"/>
    </row>
    <row r="54" spans="2:25" ht="32.25" customHeight="1">
      <c r="B54" s="73">
        <v>50</v>
      </c>
      <c r="C54" s="92" t="s">
        <v>52</v>
      </c>
      <c r="D54" s="92" t="s">
        <v>57</v>
      </c>
      <c r="E54" s="92">
        <f>'Raw Score Check'!H53</f>
        <v>0</v>
      </c>
      <c r="F54" s="134"/>
      <c r="G54" s="134"/>
      <c r="H54" s="134"/>
      <c r="I54" s="134">
        <v>1</v>
      </c>
      <c r="J54" s="93"/>
      <c r="L54" s="92"/>
      <c r="M54" s="92"/>
      <c r="Q54" s="92"/>
      <c r="V54" s="92"/>
      <c r="W54" s="92"/>
      <c r="X54" s="92"/>
      <c r="Y54" s="92"/>
    </row>
    <row r="55" spans="2:25" ht="32.25" customHeight="1">
      <c r="B55" s="73">
        <v>51</v>
      </c>
      <c r="C55" s="92" t="s">
        <v>40</v>
      </c>
      <c r="D55" s="92" t="s">
        <v>42</v>
      </c>
      <c r="E55" s="92">
        <f>'Raw Score Check'!H54</f>
        <v>0</v>
      </c>
      <c r="F55" s="134"/>
      <c r="G55" s="134"/>
      <c r="H55" s="134"/>
      <c r="I55" s="134">
        <v>1</v>
      </c>
      <c r="J55" s="93"/>
      <c r="L55" s="92"/>
      <c r="M55" s="92"/>
      <c r="Q55" s="92"/>
      <c r="V55" s="92"/>
      <c r="W55" s="92"/>
      <c r="X55" s="92"/>
      <c r="Y55" s="92"/>
    </row>
    <row r="56" spans="2:25" ht="32.25" customHeight="1" thickBot="1">
      <c r="B56" s="74">
        <v>52</v>
      </c>
      <c r="C56" s="92" t="s">
        <v>52</v>
      </c>
      <c r="D56" s="92" t="s">
        <v>56</v>
      </c>
      <c r="E56" s="92">
        <f>'Raw Score Check'!H55</f>
        <v>0</v>
      </c>
      <c r="F56" s="134"/>
      <c r="G56" s="134"/>
      <c r="H56" s="134"/>
      <c r="I56" s="134">
        <v>1</v>
      </c>
      <c r="J56" s="93"/>
      <c r="L56" s="92"/>
      <c r="M56" s="92"/>
      <c r="Q56" s="92"/>
      <c r="V56" s="92"/>
      <c r="W56" s="92"/>
      <c r="X56" s="92"/>
      <c r="Y56" s="92"/>
    </row>
  </sheetData>
  <dataValidations count="5">
    <dataValidation type="list" allowBlank="1" showInputMessage="1" showErrorMessage="1" sqref="AC5:AC42">
      <formula1>MathDependentList2</formula1>
    </dataValidation>
    <dataValidation type="list" allowBlank="1" showInputMessage="1" showErrorMessage="1" sqref="M5:R48">
      <formula1>WritingDependentList</formula1>
    </dataValidation>
    <dataValidation type="list" allowBlank="1" showInputMessage="1" showErrorMessage="1" sqref="D5:I56">
      <formula1>ReadingDependentList</formula1>
    </dataValidation>
    <dataValidation type="list" allowBlank="1" showInputMessage="1" showErrorMessage="1" sqref="V5:V24">
      <formula1>MathDependentList2</formula1>
    </dataValidation>
    <dataValidation type="list" allowBlank="1" showInputMessage="1" showErrorMessage="1" sqref="L5:L48">
      <formula1>WritingHeader</formula1>
    </dataValidation>
  </dataValidations>
  <pageMargins left="0.7" right="0.7" top="0.75" bottom="0.75" header="0.3" footer="0.3"/>
  <pageSetup scale="38" fitToHeight="0" orientation="portrait" r:id="rId1"/>
  <tableParts count="4">
    <tablePart r:id="rId2"/>
    <tablePart r:id="rId3"/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'Skill Key'!$A$3:$E$3</xm:f>
          </x14:formula1>
          <xm:sqref>U5:U24 AB5:AB42</xm:sqref>
        </x14:dataValidation>
        <x14:dataValidation type="list" allowBlank="1" showInputMessage="1" showErrorMessage="1">
          <x14:formula1>
            <xm:f>Key!$G$3:$J$3</xm:f>
          </x14:formula1>
          <xm:sqref>C5:C56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0"/>
  <dimension ref="A1:AF56"/>
  <sheetViews>
    <sheetView topLeftCell="I39" zoomScale="70" zoomScaleNormal="70" workbookViewId="0">
      <selection activeCell="L45" sqref="L45"/>
    </sheetView>
  </sheetViews>
  <sheetFormatPr defaultColWidth="9.140625" defaultRowHeight="15"/>
  <cols>
    <col min="1" max="1" width="5.140625" style="75" customWidth="1"/>
    <col min="2" max="2" width="11.140625" style="75" customWidth="1"/>
    <col min="3" max="5" width="15.7109375" style="81" customWidth="1"/>
    <col min="6" max="6" width="9.140625" style="75"/>
    <col min="7" max="7" width="11.140625" style="75" customWidth="1"/>
    <col min="8" max="9" width="15.7109375" style="81" customWidth="1"/>
    <col min="10" max="10" width="9.140625" style="75"/>
    <col min="11" max="11" width="11.140625" style="75" customWidth="1"/>
    <col min="12" max="13" width="15.7109375" style="81" customWidth="1"/>
    <col min="14" max="14" width="15.7109375" style="92" customWidth="1"/>
    <col min="15" max="15" width="9.140625" style="75"/>
    <col min="16" max="16" width="11.140625" style="75" customWidth="1"/>
    <col min="17" max="17" width="17.85546875" style="81" customWidth="1"/>
    <col min="18" max="18" width="15.7109375" style="81" customWidth="1"/>
    <col min="19" max="21" width="9.140625" style="75"/>
    <col min="22" max="22" width="12.140625" style="75" customWidth="1"/>
    <col min="23" max="23" width="9.140625" style="93"/>
    <col min="24" max="28" width="9.140625" style="75"/>
    <col min="29" max="29" width="13.5703125" style="75" customWidth="1"/>
    <col min="30" max="30" width="9.140625" style="93"/>
    <col min="31" max="16384" width="9.140625" style="75"/>
  </cols>
  <sheetData>
    <row r="1" spans="1:32">
      <c r="A1" s="79" t="s">
        <v>9</v>
      </c>
      <c r="S1" s="81"/>
      <c r="V1" s="81"/>
      <c r="W1" s="92"/>
      <c r="X1" s="81"/>
      <c r="Y1" s="81"/>
    </row>
    <row r="2" spans="1:32">
      <c r="S2" s="81"/>
      <c r="V2" s="81"/>
      <c r="W2" s="92"/>
      <c r="X2" s="81"/>
      <c r="Y2" s="81"/>
    </row>
    <row r="3" spans="1:32">
      <c r="S3" s="81"/>
      <c r="V3" s="81"/>
      <c r="W3" s="92"/>
      <c r="X3" s="81"/>
      <c r="Y3" s="81"/>
    </row>
    <row r="4" spans="1:32" ht="45.75" thickBot="1">
      <c r="B4" s="79" t="s">
        <v>117</v>
      </c>
      <c r="C4" s="80" t="s">
        <v>118</v>
      </c>
      <c r="D4" s="80" t="s">
        <v>119</v>
      </c>
      <c r="E4" s="200" t="s">
        <v>126</v>
      </c>
      <c r="F4" s="206" t="s">
        <v>139</v>
      </c>
      <c r="G4" s="206" t="s">
        <v>140</v>
      </c>
      <c r="H4" s="206" t="s">
        <v>143</v>
      </c>
      <c r="I4" s="207" t="s">
        <v>144</v>
      </c>
      <c r="K4" s="79" t="s">
        <v>120</v>
      </c>
      <c r="L4" s="80" t="s">
        <v>118</v>
      </c>
      <c r="M4" s="80" t="s">
        <v>119</v>
      </c>
      <c r="N4" s="132" t="s">
        <v>126</v>
      </c>
      <c r="O4" s="132" t="s">
        <v>139</v>
      </c>
      <c r="P4" s="132" t="s">
        <v>140</v>
      </c>
      <c r="Q4" s="132" t="s">
        <v>143</v>
      </c>
      <c r="R4" s="132" t="s">
        <v>144</v>
      </c>
      <c r="T4" s="79" t="s">
        <v>121</v>
      </c>
      <c r="U4" s="80" t="s">
        <v>118</v>
      </c>
      <c r="V4" s="80" t="s">
        <v>119</v>
      </c>
      <c r="W4" s="132" t="s">
        <v>126</v>
      </c>
      <c r="X4" s="208" t="s">
        <v>143</v>
      </c>
      <c r="Y4" s="208" t="s">
        <v>144</v>
      </c>
      <c r="AA4" s="79" t="s">
        <v>122</v>
      </c>
      <c r="AB4" s="80" t="s">
        <v>118</v>
      </c>
      <c r="AC4" s="80" t="s">
        <v>119</v>
      </c>
      <c r="AD4" s="65" t="s">
        <v>126</v>
      </c>
      <c r="AE4" s="65" t="s">
        <v>143</v>
      </c>
      <c r="AF4" s="65" t="s">
        <v>144</v>
      </c>
    </row>
    <row r="5" spans="1:32" ht="60">
      <c r="B5" s="73">
        <v>1</v>
      </c>
      <c r="C5" s="81" t="s">
        <v>40</v>
      </c>
      <c r="D5" s="81" t="s">
        <v>44</v>
      </c>
      <c r="E5" s="203">
        <f>'Raw Score Check'!H4</f>
        <v>0</v>
      </c>
      <c r="F5" s="204">
        <v>0</v>
      </c>
      <c r="G5" s="204">
        <v>0</v>
      </c>
      <c r="H5" s="204">
        <v>0</v>
      </c>
      <c r="I5" s="205">
        <v>0</v>
      </c>
      <c r="K5" s="76">
        <v>1</v>
      </c>
      <c r="L5" s="81" t="s">
        <v>65</v>
      </c>
      <c r="M5" s="81" t="s">
        <v>67</v>
      </c>
      <c r="N5" s="92">
        <f>'Raw Score Check'!K4</f>
        <v>0</v>
      </c>
      <c r="O5" s="134">
        <v>0</v>
      </c>
      <c r="P5" s="134">
        <v>0</v>
      </c>
      <c r="Q5" s="134">
        <v>0</v>
      </c>
      <c r="R5" s="134">
        <v>0</v>
      </c>
      <c r="T5" s="77">
        <v>1</v>
      </c>
      <c r="U5" s="81" t="s">
        <v>71</v>
      </c>
      <c r="V5" s="81" t="s">
        <v>72</v>
      </c>
      <c r="W5" s="92">
        <f>'Raw Score Check'!N4</f>
        <v>0</v>
      </c>
      <c r="X5" s="154">
        <v>0</v>
      </c>
      <c r="Y5" s="154">
        <v>0</v>
      </c>
      <c r="AA5" s="77">
        <v>1</v>
      </c>
      <c r="AB5" s="81" t="s">
        <v>71</v>
      </c>
      <c r="AC5" s="81" t="s">
        <v>74</v>
      </c>
      <c r="AD5" s="93">
        <f>'Raw Score Check'!Q4</f>
        <v>0</v>
      </c>
      <c r="AE5" s="155">
        <v>0</v>
      </c>
      <c r="AF5" s="155">
        <v>0</v>
      </c>
    </row>
    <row r="6" spans="1:32" ht="60">
      <c r="B6" s="73">
        <v>2</v>
      </c>
      <c r="C6" s="81" t="s">
        <v>52</v>
      </c>
      <c r="D6" s="81" t="s">
        <v>56</v>
      </c>
      <c r="E6" s="130">
        <f>'Raw Score Check'!H5</f>
        <v>0</v>
      </c>
      <c r="F6" s="201">
        <v>0</v>
      </c>
      <c r="G6" s="201">
        <v>0</v>
      </c>
      <c r="H6" s="201">
        <v>0</v>
      </c>
      <c r="I6" s="202">
        <v>0</v>
      </c>
      <c r="K6" s="77">
        <v>2</v>
      </c>
      <c r="L6" s="81" t="s">
        <v>61</v>
      </c>
      <c r="M6" s="81" t="s">
        <v>64</v>
      </c>
      <c r="N6" s="92">
        <f>'Raw Score Check'!K5</f>
        <v>0</v>
      </c>
      <c r="O6" s="134">
        <v>0</v>
      </c>
      <c r="P6" s="134">
        <v>0</v>
      </c>
      <c r="Q6" s="134">
        <v>0</v>
      </c>
      <c r="R6" s="134">
        <v>0</v>
      </c>
      <c r="T6" s="77">
        <v>2</v>
      </c>
      <c r="U6" s="81" t="s">
        <v>71</v>
      </c>
      <c r="V6" s="81" t="s">
        <v>79</v>
      </c>
      <c r="W6" s="92">
        <f>'Raw Score Check'!N5</f>
        <v>0</v>
      </c>
      <c r="X6" s="89">
        <v>0</v>
      </c>
      <c r="Y6" s="154">
        <v>0</v>
      </c>
      <c r="AA6" s="77">
        <v>2</v>
      </c>
      <c r="AB6" s="81" t="s">
        <v>96</v>
      </c>
      <c r="AC6" s="81" t="s">
        <v>97</v>
      </c>
      <c r="AD6" s="93">
        <f>'Raw Score Check'!Q5</f>
        <v>0</v>
      </c>
      <c r="AE6" s="155">
        <v>0</v>
      </c>
      <c r="AF6" s="155">
        <v>0</v>
      </c>
    </row>
    <row r="7" spans="1:32" ht="60">
      <c r="B7" s="73">
        <v>3</v>
      </c>
      <c r="C7" s="81" t="s">
        <v>40</v>
      </c>
      <c r="D7" s="81" t="s">
        <v>41</v>
      </c>
      <c r="E7" s="203">
        <f>'Raw Score Check'!H6</f>
        <v>0</v>
      </c>
      <c r="F7" s="204">
        <v>0</v>
      </c>
      <c r="G7" s="204">
        <v>0</v>
      </c>
      <c r="H7" s="204">
        <v>0</v>
      </c>
      <c r="I7" s="205">
        <v>0</v>
      </c>
      <c r="K7" s="77">
        <v>3</v>
      </c>
      <c r="L7" s="81" t="s">
        <v>65</v>
      </c>
      <c r="M7" s="81" t="s">
        <v>67</v>
      </c>
      <c r="N7" s="92">
        <f>'Raw Score Check'!K6</f>
        <v>0</v>
      </c>
      <c r="O7" s="134">
        <v>0</v>
      </c>
      <c r="P7" s="134">
        <v>0</v>
      </c>
      <c r="Q7" s="134">
        <v>0</v>
      </c>
      <c r="R7" s="134">
        <v>0</v>
      </c>
      <c r="T7" s="77">
        <v>3</v>
      </c>
      <c r="U7" s="81" t="s">
        <v>71</v>
      </c>
      <c r="V7" s="81" t="s">
        <v>74</v>
      </c>
      <c r="W7" s="92">
        <f>'Raw Score Check'!N6</f>
        <v>0</v>
      </c>
      <c r="X7" s="154">
        <v>0</v>
      </c>
      <c r="Y7" s="154">
        <v>0</v>
      </c>
      <c r="AA7" s="77">
        <v>3</v>
      </c>
      <c r="AB7" s="81" t="s">
        <v>71</v>
      </c>
      <c r="AC7" s="81" t="s">
        <v>74</v>
      </c>
      <c r="AD7" s="93">
        <f>'Raw Score Check'!Q6</f>
        <v>0</v>
      </c>
      <c r="AE7" s="155">
        <v>0</v>
      </c>
      <c r="AF7" s="155">
        <v>1</v>
      </c>
    </row>
    <row r="8" spans="1:32" ht="90">
      <c r="B8" s="73">
        <v>4</v>
      </c>
      <c r="C8" s="81" t="s">
        <v>40</v>
      </c>
      <c r="D8" s="81" t="s">
        <v>46</v>
      </c>
      <c r="E8" s="130">
        <f>'Raw Score Check'!H7</f>
        <v>0</v>
      </c>
      <c r="F8" s="201">
        <v>1</v>
      </c>
      <c r="G8" s="201">
        <v>0</v>
      </c>
      <c r="H8" s="201">
        <v>0</v>
      </c>
      <c r="I8" s="202">
        <v>0</v>
      </c>
      <c r="K8" s="77">
        <v>4</v>
      </c>
      <c r="L8" s="81" t="s">
        <v>61</v>
      </c>
      <c r="M8" s="81" t="s">
        <v>62</v>
      </c>
      <c r="N8" s="92">
        <f>'Raw Score Check'!K7</f>
        <v>0</v>
      </c>
      <c r="O8" s="134">
        <v>0</v>
      </c>
      <c r="P8" s="134">
        <v>1</v>
      </c>
      <c r="Q8" s="134">
        <v>0</v>
      </c>
      <c r="R8" s="134">
        <v>0</v>
      </c>
      <c r="T8" s="77">
        <v>4</v>
      </c>
      <c r="U8" s="81" t="s">
        <v>81</v>
      </c>
      <c r="V8" s="81" t="s">
        <v>88</v>
      </c>
      <c r="W8" s="92">
        <f>'Raw Score Check'!N7</f>
        <v>0</v>
      </c>
      <c r="X8" s="89">
        <v>0</v>
      </c>
      <c r="Y8" s="154">
        <v>0</v>
      </c>
      <c r="AA8" s="77">
        <v>4</v>
      </c>
      <c r="AB8" s="81" t="s">
        <v>96</v>
      </c>
      <c r="AC8" s="81" t="s">
        <v>97</v>
      </c>
      <c r="AD8" s="93">
        <f>'Raw Score Check'!Q7</f>
        <v>0</v>
      </c>
      <c r="AE8" s="155">
        <v>1</v>
      </c>
      <c r="AF8" s="155">
        <v>0</v>
      </c>
    </row>
    <row r="9" spans="1:32" ht="90">
      <c r="B9" s="73">
        <v>5</v>
      </c>
      <c r="C9" s="81" t="s">
        <v>40</v>
      </c>
      <c r="D9" s="81" t="s">
        <v>41</v>
      </c>
      <c r="E9" s="203">
        <f>'Raw Score Check'!H8</f>
        <v>0</v>
      </c>
      <c r="F9" s="204">
        <v>0</v>
      </c>
      <c r="G9" s="204">
        <v>0</v>
      </c>
      <c r="H9" s="204">
        <v>0</v>
      </c>
      <c r="I9" s="205">
        <v>0</v>
      </c>
      <c r="K9" s="77">
        <v>5</v>
      </c>
      <c r="L9" s="81" t="s">
        <v>65</v>
      </c>
      <c r="M9" s="81" t="s">
        <v>67</v>
      </c>
      <c r="N9" s="92">
        <f>'Raw Score Check'!K8</f>
        <v>0</v>
      </c>
      <c r="O9" s="134">
        <v>0</v>
      </c>
      <c r="P9" s="134">
        <v>0</v>
      </c>
      <c r="Q9" s="134">
        <v>0</v>
      </c>
      <c r="R9" s="134">
        <v>0</v>
      </c>
      <c r="T9" s="77">
        <v>5</v>
      </c>
      <c r="U9" s="81" t="s">
        <v>81</v>
      </c>
      <c r="V9" s="81" t="s">
        <v>87</v>
      </c>
      <c r="W9" s="92">
        <f>'Raw Score Check'!N8</f>
        <v>0</v>
      </c>
      <c r="X9" s="154">
        <v>0</v>
      </c>
      <c r="Y9" s="154">
        <v>0</v>
      </c>
      <c r="AA9" s="77">
        <v>5</v>
      </c>
      <c r="AB9" s="81" t="s">
        <v>96</v>
      </c>
      <c r="AC9" s="81" t="s">
        <v>98</v>
      </c>
      <c r="AD9" s="93">
        <f>'Raw Score Check'!Q8</f>
        <v>0</v>
      </c>
      <c r="AE9" s="155">
        <v>1</v>
      </c>
      <c r="AF9" s="155">
        <v>0</v>
      </c>
    </row>
    <row r="10" spans="1:32" ht="45">
      <c r="B10" s="73">
        <v>6</v>
      </c>
      <c r="C10" s="81" t="s">
        <v>40</v>
      </c>
      <c r="D10" s="81" t="s">
        <v>41</v>
      </c>
      <c r="E10" s="130">
        <f>'Raw Score Check'!H9</f>
        <v>0</v>
      </c>
      <c r="F10" s="201">
        <v>0</v>
      </c>
      <c r="G10" s="201">
        <v>0</v>
      </c>
      <c r="H10" s="201">
        <v>0</v>
      </c>
      <c r="I10" s="202">
        <v>0</v>
      </c>
      <c r="K10" s="77">
        <v>6</v>
      </c>
      <c r="L10" s="81" t="s">
        <v>65</v>
      </c>
      <c r="M10" s="81" t="s">
        <v>67</v>
      </c>
      <c r="N10" s="92">
        <f>'Raw Score Check'!K9</f>
        <v>0</v>
      </c>
      <c r="O10" s="134">
        <v>0</v>
      </c>
      <c r="P10" s="134">
        <v>0</v>
      </c>
      <c r="Q10" s="134">
        <v>0</v>
      </c>
      <c r="R10" s="134">
        <v>0</v>
      </c>
      <c r="T10" s="77">
        <v>6</v>
      </c>
      <c r="U10" s="81" t="s">
        <v>71</v>
      </c>
      <c r="V10" s="81" t="s">
        <v>76</v>
      </c>
      <c r="W10" s="92">
        <f>'Raw Score Check'!N9</f>
        <v>0</v>
      </c>
      <c r="X10" s="89">
        <v>0</v>
      </c>
      <c r="Y10" s="154">
        <v>0</v>
      </c>
      <c r="AA10" s="77">
        <v>6</v>
      </c>
      <c r="AB10" s="81" t="s">
        <v>71</v>
      </c>
      <c r="AC10" s="81" t="s">
        <v>73</v>
      </c>
      <c r="AD10" s="93">
        <f>'Raw Score Check'!Q9</f>
        <v>0</v>
      </c>
      <c r="AE10" s="155">
        <v>0</v>
      </c>
      <c r="AF10" s="155">
        <v>0</v>
      </c>
    </row>
    <row r="11" spans="1:32" ht="90">
      <c r="B11" s="73">
        <v>7</v>
      </c>
      <c r="C11" s="81" t="s">
        <v>40</v>
      </c>
      <c r="D11" s="81" t="s">
        <v>42</v>
      </c>
      <c r="E11" s="203">
        <f>'Raw Score Check'!H10</f>
        <v>0</v>
      </c>
      <c r="F11" s="204">
        <v>0</v>
      </c>
      <c r="G11" s="204">
        <v>0</v>
      </c>
      <c r="H11" s="204">
        <v>0</v>
      </c>
      <c r="I11" s="205">
        <v>0</v>
      </c>
      <c r="K11" s="77">
        <v>7</v>
      </c>
      <c r="L11" s="81" t="s">
        <v>61</v>
      </c>
      <c r="M11" s="81" t="s">
        <v>63</v>
      </c>
      <c r="N11" s="92">
        <f>'Raw Score Check'!K10</f>
        <v>0</v>
      </c>
      <c r="O11" s="134">
        <v>1</v>
      </c>
      <c r="P11" s="134">
        <v>0</v>
      </c>
      <c r="Q11" s="134">
        <v>0</v>
      </c>
      <c r="R11" s="134">
        <v>0</v>
      </c>
      <c r="T11" s="77">
        <v>7</v>
      </c>
      <c r="U11" s="81" t="s">
        <v>81</v>
      </c>
      <c r="V11" s="81" t="s">
        <v>87</v>
      </c>
      <c r="W11" s="92">
        <f>'Raw Score Check'!N10</f>
        <v>0</v>
      </c>
      <c r="X11" s="154">
        <v>0</v>
      </c>
      <c r="Y11" s="154">
        <v>0</v>
      </c>
      <c r="AA11" s="77">
        <v>7</v>
      </c>
      <c r="AB11" s="81" t="s">
        <v>81</v>
      </c>
      <c r="AC11" s="81" t="s">
        <v>93</v>
      </c>
      <c r="AD11" s="93">
        <f>'Raw Score Check'!Q10</f>
        <v>0</v>
      </c>
      <c r="AE11" s="155">
        <v>0</v>
      </c>
      <c r="AF11" s="155">
        <v>0</v>
      </c>
    </row>
    <row r="12" spans="1:32" ht="60">
      <c r="B12" s="73">
        <v>8</v>
      </c>
      <c r="C12" s="81" t="s">
        <v>40</v>
      </c>
      <c r="D12" s="81" t="s">
        <v>45</v>
      </c>
      <c r="E12" s="130">
        <f>'Raw Score Check'!H11</f>
        <v>0</v>
      </c>
      <c r="F12" s="201">
        <v>1</v>
      </c>
      <c r="G12" s="201">
        <v>0</v>
      </c>
      <c r="H12" s="201">
        <v>0</v>
      </c>
      <c r="I12" s="202">
        <v>0</v>
      </c>
      <c r="K12" s="77">
        <v>8</v>
      </c>
      <c r="L12" s="81" t="s">
        <v>65</v>
      </c>
      <c r="M12" s="81" t="s">
        <v>67</v>
      </c>
      <c r="N12" s="92">
        <f>'Raw Score Check'!K11</f>
        <v>0</v>
      </c>
      <c r="O12" s="134">
        <v>0</v>
      </c>
      <c r="P12" s="134">
        <v>0</v>
      </c>
      <c r="Q12" s="134">
        <v>0</v>
      </c>
      <c r="R12" s="134">
        <v>0</v>
      </c>
      <c r="T12" s="77">
        <v>8</v>
      </c>
      <c r="U12" s="81" t="s">
        <v>71</v>
      </c>
      <c r="V12" s="81" t="s">
        <v>74</v>
      </c>
      <c r="W12" s="92">
        <f>'Raw Score Check'!N11</f>
        <v>0</v>
      </c>
      <c r="X12" s="89">
        <v>0</v>
      </c>
      <c r="Y12" s="154">
        <v>0</v>
      </c>
      <c r="AA12" s="77">
        <v>8</v>
      </c>
      <c r="AB12" s="81" t="s">
        <v>71</v>
      </c>
      <c r="AC12" s="81" t="s">
        <v>74</v>
      </c>
      <c r="AD12" s="93">
        <f>'Raw Score Check'!Q11</f>
        <v>0</v>
      </c>
      <c r="AE12" s="155">
        <v>0</v>
      </c>
      <c r="AF12" s="155">
        <v>0</v>
      </c>
    </row>
    <row r="13" spans="1:32" ht="75">
      <c r="B13" s="73">
        <v>9</v>
      </c>
      <c r="C13" s="81" t="s">
        <v>40</v>
      </c>
      <c r="D13" s="81" t="s">
        <v>41</v>
      </c>
      <c r="E13" s="203">
        <f>'Raw Score Check'!H12</f>
        <v>0</v>
      </c>
      <c r="F13" s="204">
        <v>0</v>
      </c>
      <c r="G13" s="204">
        <v>0</v>
      </c>
      <c r="H13" s="204">
        <v>0</v>
      </c>
      <c r="I13" s="205">
        <v>0</v>
      </c>
      <c r="K13" s="77">
        <v>9</v>
      </c>
      <c r="L13" s="81" t="s">
        <v>61</v>
      </c>
      <c r="M13" s="81" t="s">
        <v>64</v>
      </c>
      <c r="N13" s="92">
        <f>'Raw Score Check'!K12</f>
        <v>0</v>
      </c>
      <c r="O13" s="134">
        <v>0</v>
      </c>
      <c r="P13" s="134">
        <v>1</v>
      </c>
      <c r="Q13" s="134">
        <v>0</v>
      </c>
      <c r="R13" s="134">
        <v>0</v>
      </c>
      <c r="T13" s="77">
        <v>9</v>
      </c>
      <c r="U13" s="81" t="s">
        <v>71</v>
      </c>
      <c r="V13" s="81" t="s">
        <v>76</v>
      </c>
      <c r="W13" s="92">
        <f>'Raw Score Check'!N12</f>
        <v>0</v>
      </c>
      <c r="X13" s="154">
        <v>0</v>
      </c>
      <c r="Y13" s="154">
        <v>0</v>
      </c>
      <c r="AA13" s="77">
        <v>9</v>
      </c>
      <c r="AB13" s="81" t="s">
        <v>71</v>
      </c>
      <c r="AC13" s="81" t="s">
        <v>78</v>
      </c>
      <c r="AD13" s="93">
        <f>'Raw Score Check'!Q12</f>
        <v>0</v>
      </c>
      <c r="AE13" s="155">
        <v>0</v>
      </c>
      <c r="AF13" s="155">
        <v>0</v>
      </c>
    </row>
    <row r="14" spans="1:32" ht="90">
      <c r="B14" s="73">
        <v>10</v>
      </c>
      <c r="C14" s="81" t="s">
        <v>40</v>
      </c>
      <c r="D14" s="81" t="s">
        <v>42</v>
      </c>
      <c r="E14" s="130">
        <f>'Raw Score Check'!H13</f>
        <v>0</v>
      </c>
      <c r="F14" s="201">
        <v>0</v>
      </c>
      <c r="G14" s="201">
        <v>1</v>
      </c>
      <c r="H14" s="201">
        <v>0</v>
      </c>
      <c r="I14" s="202">
        <v>0</v>
      </c>
      <c r="K14" s="77">
        <v>10</v>
      </c>
      <c r="L14" s="81" t="s">
        <v>61</v>
      </c>
      <c r="M14" s="81" t="s">
        <v>64</v>
      </c>
      <c r="N14" s="92">
        <f>'Raw Score Check'!K13</f>
        <v>0</v>
      </c>
      <c r="O14" s="134">
        <v>1</v>
      </c>
      <c r="P14" s="134">
        <v>0</v>
      </c>
      <c r="Q14" s="134">
        <v>0</v>
      </c>
      <c r="R14" s="134">
        <v>0</v>
      </c>
      <c r="T14" s="77">
        <v>10</v>
      </c>
      <c r="U14" s="81" t="s">
        <v>81</v>
      </c>
      <c r="V14" s="81" t="s">
        <v>83</v>
      </c>
      <c r="W14" s="92">
        <f>'Raw Score Check'!N13</f>
        <v>0</v>
      </c>
      <c r="X14" s="89">
        <v>0</v>
      </c>
      <c r="Y14" s="154">
        <v>0</v>
      </c>
      <c r="AA14" s="77">
        <v>10</v>
      </c>
      <c r="AB14" s="81" t="s">
        <v>81</v>
      </c>
      <c r="AC14" s="81" t="s">
        <v>95</v>
      </c>
      <c r="AD14" s="93">
        <f>'Raw Score Check'!Q13</f>
        <v>0</v>
      </c>
      <c r="AE14" s="155">
        <v>0</v>
      </c>
      <c r="AF14" s="155">
        <v>0</v>
      </c>
    </row>
    <row r="15" spans="1:32" ht="60">
      <c r="B15" s="73">
        <v>11</v>
      </c>
      <c r="C15" s="81" t="s">
        <v>52</v>
      </c>
      <c r="D15" s="81" t="s">
        <v>56</v>
      </c>
      <c r="E15" s="203">
        <f>'Raw Score Check'!H14</f>
        <v>0</v>
      </c>
      <c r="F15" s="204">
        <v>0</v>
      </c>
      <c r="G15" s="204">
        <v>0</v>
      </c>
      <c r="H15" s="204">
        <v>1</v>
      </c>
      <c r="I15" s="205">
        <v>0</v>
      </c>
      <c r="K15" s="77">
        <v>11</v>
      </c>
      <c r="L15" s="81" t="s">
        <v>61</v>
      </c>
      <c r="M15" s="81" t="s">
        <v>62</v>
      </c>
      <c r="N15" s="92">
        <f>'Raw Score Check'!K14</f>
        <v>0</v>
      </c>
      <c r="O15" s="134">
        <v>0</v>
      </c>
      <c r="P15" s="134">
        <v>0</v>
      </c>
      <c r="Q15" s="134">
        <v>0</v>
      </c>
      <c r="R15" s="134">
        <v>0</v>
      </c>
      <c r="T15" s="77">
        <v>11</v>
      </c>
      <c r="U15" s="81" t="s">
        <v>107</v>
      </c>
      <c r="V15" s="81" t="s">
        <v>115</v>
      </c>
      <c r="W15" s="92">
        <f>'Raw Score Check'!N14</f>
        <v>0</v>
      </c>
      <c r="X15" s="154">
        <v>0</v>
      </c>
      <c r="Y15" s="154">
        <v>0</v>
      </c>
      <c r="AA15" s="77">
        <v>11</v>
      </c>
      <c r="AB15" s="81" t="s">
        <v>96</v>
      </c>
      <c r="AC15" s="81" t="s">
        <v>100</v>
      </c>
      <c r="AD15" s="93">
        <f>'Raw Score Check'!Q14</f>
        <v>0</v>
      </c>
      <c r="AE15" s="155">
        <v>1</v>
      </c>
      <c r="AF15" s="155">
        <v>0</v>
      </c>
    </row>
    <row r="16" spans="1:32" ht="90">
      <c r="B16" s="73">
        <v>12</v>
      </c>
      <c r="C16" s="81" t="s">
        <v>52</v>
      </c>
      <c r="D16" s="81" t="s">
        <v>57</v>
      </c>
      <c r="E16" s="130">
        <f>'Raw Score Check'!H15</f>
        <v>0</v>
      </c>
      <c r="F16" s="201">
        <v>0</v>
      </c>
      <c r="G16" s="201">
        <v>0</v>
      </c>
      <c r="H16" s="201">
        <v>1</v>
      </c>
      <c r="I16" s="202">
        <v>0</v>
      </c>
      <c r="K16" s="77">
        <v>12</v>
      </c>
      <c r="L16" s="81" t="s">
        <v>61</v>
      </c>
      <c r="M16" s="81" t="s">
        <v>64</v>
      </c>
      <c r="N16" s="92">
        <f>'Raw Score Check'!K15</f>
        <v>0</v>
      </c>
      <c r="O16" s="134">
        <v>0</v>
      </c>
      <c r="P16" s="134">
        <v>0</v>
      </c>
      <c r="Q16" s="134">
        <v>0</v>
      </c>
      <c r="R16" s="134">
        <v>0</v>
      </c>
      <c r="T16" s="77">
        <v>12</v>
      </c>
      <c r="U16" s="81" t="s">
        <v>81</v>
      </c>
      <c r="V16" s="81" t="s">
        <v>93</v>
      </c>
      <c r="W16" s="92">
        <f>'Raw Score Check'!N15</f>
        <v>0</v>
      </c>
      <c r="X16" s="89">
        <v>0</v>
      </c>
      <c r="Y16" s="154">
        <v>0</v>
      </c>
      <c r="AA16" s="77">
        <v>12</v>
      </c>
      <c r="AB16" s="81" t="s">
        <v>71</v>
      </c>
      <c r="AC16" s="81" t="s">
        <v>75</v>
      </c>
      <c r="AD16" s="93">
        <f>'Raw Score Check'!Q15</f>
        <v>0</v>
      </c>
      <c r="AE16" s="155">
        <v>1</v>
      </c>
      <c r="AF16" s="155">
        <v>0</v>
      </c>
    </row>
    <row r="17" spans="2:32" ht="90">
      <c r="B17" s="73">
        <v>13</v>
      </c>
      <c r="C17" s="81" t="s">
        <v>40</v>
      </c>
      <c r="D17" s="81" t="s">
        <v>42</v>
      </c>
      <c r="E17" s="203">
        <f>'Raw Score Check'!H16</f>
        <v>0</v>
      </c>
      <c r="F17" s="204">
        <v>0</v>
      </c>
      <c r="G17" s="204">
        <v>1</v>
      </c>
      <c r="H17" s="204">
        <v>1</v>
      </c>
      <c r="I17" s="205">
        <v>0</v>
      </c>
      <c r="K17" s="77">
        <v>13</v>
      </c>
      <c r="L17" s="81" t="s">
        <v>65</v>
      </c>
      <c r="M17" s="81" t="s">
        <v>66</v>
      </c>
      <c r="N17" s="92">
        <f>'Raw Score Check'!K16</f>
        <v>0</v>
      </c>
      <c r="O17" s="134">
        <v>0</v>
      </c>
      <c r="P17" s="134">
        <v>0</v>
      </c>
      <c r="Q17" s="134">
        <v>0</v>
      </c>
      <c r="R17" s="134">
        <v>0</v>
      </c>
      <c r="T17" s="77">
        <v>13</v>
      </c>
      <c r="U17" s="81" t="s">
        <v>81</v>
      </c>
      <c r="V17" s="81" t="s">
        <v>82</v>
      </c>
      <c r="W17" s="92">
        <f>'Raw Score Check'!N16</f>
        <v>0</v>
      </c>
      <c r="X17" s="154">
        <v>0</v>
      </c>
      <c r="Y17" s="154">
        <v>0</v>
      </c>
      <c r="AA17" s="77">
        <v>13</v>
      </c>
      <c r="AB17" s="81" t="s">
        <v>96</v>
      </c>
      <c r="AC17" s="81" t="s">
        <v>106</v>
      </c>
      <c r="AD17" s="93">
        <f>'Raw Score Check'!Q16</f>
        <v>0</v>
      </c>
      <c r="AE17" s="155">
        <v>1</v>
      </c>
      <c r="AF17" s="155">
        <v>0</v>
      </c>
    </row>
    <row r="18" spans="2:32" ht="90">
      <c r="B18" s="73">
        <v>14</v>
      </c>
      <c r="C18" s="81" t="s">
        <v>40</v>
      </c>
      <c r="D18" s="81" t="s">
        <v>46</v>
      </c>
      <c r="E18" s="130">
        <f>'Raw Score Check'!H17</f>
        <v>0</v>
      </c>
      <c r="F18" s="201">
        <v>0</v>
      </c>
      <c r="G18" s="201">
        <v>0</v>
      </c>
      <c r="H18" s="201">
        <v>1</v>
      </c>
      <c r="I18" s="202">
        <v>0</v>
      </c>
      <c r="K18" s="77">
        <v>14</v>
      </c>
      <c r="L18" s="81" t="s">
        <v>65</v>
      </c>
      <c r="M18" s="81" t="s">
        <v>68</v>
      </c>
      <c r="N18" s="92">
        <f>'Raw Score Check'!K17</f>
        <v>0</v>
      </c>
      <c r="O18" s="134">
        <v>0</v>
      </c>
      <c r="P18" s="134">
        <v>0</v>
      </c>
      <c r="Q18" s="134">
        <v>0</v>
      </c>
      <c r="R18" s="134">
        <v>0</v>
      </c>
      <c r="T18" s="77">
        <v>14</v>
      </c>
      <c r="U18" s="81" t="s">
        <v>81</v>
      </c>
      <c r="V18" s="81" t="s">
        <v>84</v>
      </c>
      <c r="W18" s="92">
        <f>'Raw Score Check'!N17</f>
        <v>0</v>
      </c>
      <c r="X18" s="89">
        <v>0</v>
      </c>
      <c r="Y18" s="154">
        <v>1</v>
      </c>
      <c r="AA18" s="77">
        <v>14</v>
      </c>
      <c r="AB18" s="81" t="s">
        <v>96</v>
      </c>
      <c r="AC18" s="81" t="s">
        <v>101</v>
      </c>
      <c r="AD18" s="93">
        <f>'Raw Score Check'!Q17</f>
        <v>0</v>
      </c>
      <c r="AE18" s="155">
        <v>0</v>
      </c>
      <c r="AF18" s="155">
        <v>0</v>
      </c>
    </row>
    <row r="19" spans="2:32" ht="90">
      <c r="B19" s="73">
        <v>15</v>
      </c>
      <c r="C19" s="81" t="s">
        <v>52</v>
      </c>
      <c r="D19" s="81" t="s">
        <v>56</v>
      </c>
      <c r="E19" s="203">
        <f>'Raw Score Check'!H18</f>
        <v>0</v>
      </c>
      <c r="F19" s="204">
        <v>0</v>
      </c>
      <c r="G19" s="204">
        <v>0</v>
      </c>
      <c r="H19" s="204">
        <v>1</v>
      </c>
      <c r="I19" s="205">
        <v>0</v>
      </c>
      <c r="K19" s="77">
        <v>15</v>
      </c>
      <c r="L19" s="81" t="s">
        <v>61</v>
      </c>
      <c r="M19" s="81" t="s">
        <v>62</v>
      </c>
      <c r="N19" s="92">
        <f>'Raw Score Check'!K18</f>
        <v>0</v>
      </c>
      <c r="O19" s="134">
        <v>0</v>
      </c>
      <c r="P19" s="134">
        <v>1</v>
      </c>
      <c r="Q19" s="134">
        <v>0</v>
      </c>
      <c r="R19" s="134">
        <v>0</v>
      </c>
      <c r="T19" s="77">
        <v>15</v>
      </c>
      <c r="U19" s="81" t="s">
        <v>81</v>
      </c>
      <c r="V19" s="81" t="s">
        <v>93</v>
      </c>
      <c r="W19" s="92">
        <f>'Raw Score Check'!N18</f>
        <v>0</v>
      </c>
      <c r="X19" s="154">
        <v>0</v>
      </c>
      <c r="Y19" s="154">
        <v>0</v>
      </c>
      <c r="AA19" s="77">
        <v>15</v>
      </c>
      <c r="AB19" s="81" t="s">
        <v>96</v>
      </c>
      <c r="AC19" s="81" t="s">
        <v>104</v>
      </c>
      <c r="AD19" s="93">
        <f>'Raw Score Check'!Q18</f>
        <v>0</v>
      </c>
      <c r="AE19" s="155">
        <v>0</v>
      </c>
      <c r="AF19" s="155">
        <v>1</v>
      </c>
    </row>
    <row r="20" spans="2:32" ht="75">
      <c r="B20" s="73">
        <v>16</v>
      </c>
      <c r="C20" s="81" t="s">
        <v>40</v>
      </c>
      <c r="D20" s="81" t="s">
        <v>46</v>
      </c>
      <c r="E20" s="130">
        <f>'Raw Score Check'!H19</f>
        <v>0</v>
      </c>
      <c r="F20" s="201">
        <v>1</v>
      </c>
      <c r="G20" s="201">
        <v>0</v>
      </c>
      <c r="H20" s="201">
        <v>1</v>
      </c>
      <c r="I20" s="202">
        <v>0</v>
      </c>
      <c r="K20" s="77">
        <v>16</v>
      </c>
      <c r="L20" s="81" t="s">
        <v>65</v>
      </c>
      <c r="M20" s="81" t="s">
        <v>66</v>
      </c>
      <c r="N20" s="92">
        <f>'Raw Score Check'!K19</f>
        <v>0</v>
      </c>
      <c r="O20" s="134">
        <v>0</v>
      </c>
      <c r="P20" s="134">
        <v>0</v>
      </c>
      <c r="Q20" s="134">
        <v>0</v>
      </c>
      <c r="R20" s="134">
        <v>0</v>
      </c>
      <c r="T20" s="77">
        <v>16</v>
      </c>
      <c r="U20" s="81" t="s">
        <v>71</v>
      </c>
      <c r="V20" s="81" t="s">
        <v>80</v>
      </c>
      <c r="W20" s="92">
        <f>'Raw Score Check'!N19</f>
        <v>0</v>
      </c>
      <c r="X20" s="89">
        <v>0</v>
      </c>
      <c r="Y20" s="154">
        <v>0</v>
      </c>
      <c r="AA20" s="77">
        <v>16</v>
      </c>
      <c r="AB20" s="81" t="s">
        <v>96</v>
      </c>
      <c r="AC20" s="81" t="s">
        <v>100</v>
      </c>
      <c r="AD20" s="93">
        <f>'Raw Score Check'!Q19</f>
        <v>0</v>
      </c>
      <c r="AE20" s="155">
        <v>1</v>
      </c>
      <c r="AF20" s="155">
        <v>0</v>
      </c>
    </row>
    <row r="21" spans="2:32" ht="90">
      <c r="B21" s="73">
        <v>17</v>
      </c>
      <c r="C21" s="81" t="s">
        <v>40</v>
      </c>
      <c r="D21" s="81" t="s">
        <v>42</v>
      </c>
      <c r="E21" s="203">
        <f>'Raw Score Check'!H20</f>
        <v>0</v>
      </c>
      <c r="F21" s="204">
        <v>0</v>
      </c>
      <c r="G21" s="204">
        <v>0</v>
      </c>
      <c r="H21" s="204">
        <v>1</v>
      </c>
      <c r="I21" s="205">
        <v>0</v>
      </c>
      <c r="K21" s="77">
        <v>17</v>
      </c>
      <c r="L21" s="81" t="s">
        <v>61</v>
      </c>
      <c r="M21" s="81" t="s">
        <v>62</v>
      </c>
      <c r="N21" s="92">
        <f>'Raw Score Check'!K20</f>
        <v>0</v>
      </c>
      <c r="O21" s="134">
        <v>0</v>
      </c>
      <c r="P21" s="134">
        <v>1</v>
      </c>
      <c r="Q21" s="134">
        <v>0</v>
      </c>
      <c r="R21" s="134">
        <v>0</v>
      </c>
      <c r="T21" s="77">
        <v>17</v>
      </c>
      <c r="U21" s="81" t="s">
        <v>81</v>
      </c>
      <c r="V21" s="81" t="s">
        <v>85</v>
      </c>
      <c r="W21" s="92">
        <f>'Raw Score Check'!N20</f>
        <v>0</v>
      </c>
      <c r="X21" s="154">
        <v>0</v>
      </c>
      <c r="Y21" s="154">
        <v>0</v>
      </c>
      <c r="AA21" s="77">
        <v>17</v>
      </c>
      <c r="AB21" s="81" t="s">
        <v>96</v>
      </c>
      <c r="AC21" s="81" t="s">
        <v>99</v>
      </c>
      <c r="AD21" s="93">
        <f>'Raw Score Check'!Q20</f>
        <v>0</v>
      </c>
      <c r="AE21" s="155">
        <v>0</v>
      </c>
      <c r="AF21" s="155">
        <v>1</v>
      </c>
    </row>
    <row r="22" spans="2:32" ht="60">
      <c r="B22" s="73">
        <v>18</v>
      </c>
      <c r="C22" s="81" t="s">
        <v>40</v>
      </c>
      <c r="D22" s="81" t="s">
        <v>43</v>
      </c>
      <c r="E22" s="130">
        <f>'Raw Score Check'!H21</f>
        <v>0</v>
      </c>
      <c r="F22" s="201">
        <v>0</v>
      </c>
      <c r="G22" s="201">
        <v>0</v>
      </c>
      <c r="H22" s="201">
        <v>1</v>
      </c>
      <c r="I22" s="202">
        <v>0</v>
      </c>
      <c r="K22" s="77">
        <v>18</v>
      </c>
      <c r="L22" s="81" t="s">
        <v>61</v>
      </c>
      <c r="M22" s="81" t="s">
        <v>63</v>
      </c>
      <c r="N22" s="92">
        <f>'Raw Score Check'!K21</f>
        <v>0</v>
      </c>
      <c r="O22" s="134">
        <v>1</v>
      </c>
      <c r="P22" s="134">
        <v>0</v>
      </c>
      <c r="Q22" s="134">
        <v>0</v>
      </c>
      <c r="R22" s="134">
        <v>0</v>
      </c>
      <c r="T22" s="77">
        <v>18</v>
      </c>
      <c r="U22" s="81" t="s">
        <v>107</v>
      </c>
      <c r="V22" s="81" t="s">
        <v>110</v>
      </c>
      <c r="W22" s="92">
        <f>'Raw Score Check'!N21</f>
        <v>0</v>
      </c>
      <c r="X22" s="89">
        <v>0</v>
      </c>
      <c r="Y22" s="154">
        <v>0</v>
      </c>
      <c r="AA22" s="77">
        <v>18</v>
      </c>
      <c r="AB22" s="81" t="s">
        <v>96</v>
      </c>
      <c r="AC22" s="81" t="s">
        <v>104</v>
      </c>
      <c r="AD22" s="93">
        <f>'Raw Score Check'!Q21</f>
        <v>0</v>
      </c>
      <c r="AE22" s="155">
        <v>1</v>
      </c>
      <c r="AF22" s="155">
        <v>0</v>
      </c>
    </row>
    <row r="23" spans="2:32" ht="60">
      <c r="B23" s="73">
        <v>19</v>
      </c>
      <c r="C23" s="81" t="s">
        <v>58</v>
      </c>
      <c r="D23" s="81" t="s">
        <v>60</v>
      </c>
      <c r="E23" s="203">
        <f>'Raw Score Check'!H22</f>
        <v>0</v>
      </c>
      <c r="F23" s="204">
        <v>0</v>
      </c>
      <c r="G23" s="204">
        <v>0</v>
      </c>
      <c r="H23" s="204">
        <v>1</v>
      </c>
      <c r="I23" s="205">
        <v>0</v>
      </c>
      <c r="K23" s="77">
        <v>19</v>
      </c>
      <c r="L23" s="81" t="s">
        <v>61</v>
      </c>
      <c r="M23" s="81" t="s">
        <v>64</v>
      </c>
      <c r="N23" s="92">
        <f>'Raw Score Check'!K22</f>
        <v>0</v>
      </c>
      <c r="O23" s="134">
        <v>1</v>
      </c>
      <c r="P23" s="134">
        <v>0</v>
      </c>
      <c r="Q23" s="134">
        <v>0</v>
      </c>
      <c r="R23" s="134">
        <v>0</v>
      </c>
      <c r="T23" s="77">
        <v>19</v>
      </c>
      <c r="U23" s="81" t="s">
        <v>107</v>
      </c>
      <c r="V23" s="81" t="s">
        <v>112</v>
      </c>
      <c r="W23" s="92">
        <f>'Raw Score Check'!N22</f>
        <v>0</v>
      </c>
      <c r="X23" s="154">
        <v>0</v>
      </c>
      <c r="Y23" s="154">
        <v>0</v>
      </c>
      <c r="AA23" s="77">
        <v>19</v>
      </c>
      <c r="AB23" s="81" t="s">
        <v>96</v>
      </c>
      <c r="AC23" s="81" t="s">
        <v>100</v>
      </c>
      <c r="AD23" s="93">
        <f>'Raw Score Check'!Q22</f>
        <v>0</v>
      </c>
      <c r="AE23" s="155">
        <v>0</v>
      </c>
      <c r="AF23" s="155">
        <v>0</v>
      </c>
    </row>
    <row r="24" spans="2:32" ht="60.75" thickBot="1">
      <c r="B24" s="73">
        <v>20</v>
      </c>
      <c r="C24" s="81" t="s">
        <v>58</v>
      </c>
      <c r="D24" s="81" t="s">
        <v>60</v>
      </c>
      <c r="E24" s="130">
        <f>'Raw Score Check'!H23</f>
        <v>0</v>
      </c>
      <c r="F24" s="201">
        <v>0</v>
      </c>
      <c r="G24" s="201">
        <v>1</v>
      </c>
      <c r="H24" s="201">
        <v>1</v>
      </c>
      <c r="I24" s="202">
        <v>0</v>
      </c>
      <c r="K24" s="77">
        <v>20</v>
      </c>
      <c r="L24" s="81" t="s">
        <v>65</v>
      </c>
      <c r="M24" s="81" t="s">
        <v>67</v>
      </c>
      <c r="N24" s="92">
        <f>'Raw Score Check'!K23</f>
        <v>0</v>
      </c>
      <c r="O24" s="134">
        <v>0</v>
      </c>
      <c r="P24" s="134">
        <v>0</v>
      </c>
      <c r="Q24" s="134">
        <v>0</v>
      </c>
      <c r="R24" s="134">
        <v>0</v>
      </c>
      <c r="T24" s="78">
        <v>20</v>
      </c>
      <c r="U24" s="81" t="s">
        <v>71</v>
      </c>
      <c r="V24" s="81" t="s">
        <v>79</v>
      </c>
      <c r="W24" s="92">
        <f>'Raw Score Check'!N23</f>
        <v>0</v>
      </c>
      <c r="X24" s="89">
        <v>0</v>
      </c>
      <c r="Y24" s="154">
        <v>0</v>
      </c>
      <c r="AA24" s="77">
        <v>20</v>
      </c>
      <c r="AB24" s="81" t="s">
        <v>96</v>
      </c>
      <c r="AC24" s="81" t="s">
        <v>106</v>
      </c>
      <c r="AD24" s="93">
        <f>'Raw Score Check'!Q23</f>
        <v>0</v>
      </c>
      <c r="AE24" s="155">
        <v>0</v>
      </c>
      <c r="AF24" s="155">
        <v>0</v>
      </c>
    </row>
    <row r="25" spans="2:32" ht="60">
      <c r="B25" s="73">
        <v>21</v>
      </c>
      <c r="C25" s="81" t="s">
        <v>58</v>
      </c>
      <c r="D25" s="81" t="s">
        <v>60</v>
      </c>
      <c r="E25" s="203">
        <f>'Raw Score Check'!H24</f>
        <v>0</v>
      </c>
      <c r="F25" s="204">
        <v>0</v>
      </c>
      <c r="G25" s="204">
        <v>1</v>
      </c>
      <c r="H25" s="204">
        <v>1</v>
      </c>
      <c r="I25" s="205">
        <v>0</v>
      </c>
      <c r="K25" s="77">
        <v>21</v>
      </c>
      <c r="L25" s="81" t="s">
        <v>65</v>
      </c>
      <c r="M25" s="81" t="s">
        <v>66</v>
      </c>
      <c r="N25" s="92">
        <f>'Raw Score Check'!K24</f>
        <v>0</v>
      </c>
      <c r="O25" s="134">
        <v>0</v>
      </c>
      <c r="P25" s="134">
        <v>0</v>
      </c>
      <c r="Q25" s="134">
        <v>0</v>
      </c>
      <c r="R25" s="134">
        <v>0</v>
      </c>
      <c r="U25" s="81"/>
      <c r="V25" s="81"/>
      <c r="W25" s="92"/>
      <c r="X25" s="81"/>
      <c r="Y25" s="81"/>
      <c r="AA25" s="77">
        <v>21</v>
      </c>
      <c r="AB25" s="81" t="s">
        <v>71</v>
      </c>
      <c r="AC25" s="81" t="s">
        <v>75</v>
      </c>
      <c r="AD25" s="93">
        <f>'Raw Score Check'!Q24</f>
        <v>0</v>
      </c>
      <c r="AE25" s="155">
        <v>0</v>
      </c>
      <c r="AF25" s="155">
        <v>0</v>
      </c>
    </row>
    <row r="26" spans="2:32" ht="90">
      <c r="B26" s="73">
        <v>22</v>
      </c>
      <c r="C26" s="81" t="s">
        <v>40</v>
      </c>
      <c r="D26" s="81" t="s">
        <v>41</v>
      </c>
      <c r="E26" s="130">
        <f>'Raw Score Check'!H25</f>
        <v>0</v>
      </c>
      <c r="F26" s="201">
        <v>0</v>
      </c>
      <c r="G26" s="201">
        <v>0</v>
      </c>
      <c r="H26" s="201">
        <v>0</v>
      </c>
      <c r="I26" s="202">
        <v>1</v>
      </c>
      <c r="K26" s="77">
        <v>22</v>
      </c>
      <c r="L26" s="81" t="s">
        <v>61</v>
      </c>
      <c r="M26" s="81" t="s">
        <v>63</v>
      </c>
      <c r="N26" s="92">
        <f>'Raw Score Check'!K25</f>
        <v>0</v>
      </c>
      <c r="O26" s="134">
        <v>0</v>
      </c>
      <c r="P26" s="134">
        <v>0</v>
      </c>
      <c r="Q26" s="134">
        <v>0</v>
      </c>
      <c r="R26" s="134">
        <v>0</v>
      </c>
      <c r="U26" s="81"/>
      <c r="V26" s="81"/>
      <c r="W26" s="92"/>
      <c r="X26" s="81"/>
      <c r="Y26" s="81"/>
      <c r="AA26" s="77">
        <v>22</v>
      </c>
      <c r="AB26" s="81" t="s">
        <v>81</v>
      </c>
      <c r="AC26" s="81" t="s">
        <v>84</v>
      </c>
      <c r="AD26" s="93">
        <f>'Raw Score Check'!Q25</f>
        <v>0</v>
      </c>
      <c r="AE26" s="155">
        <v>0</v>
      </c>
      <c r="AF26" s="155">
        <v>1</v>
      </c>
    </row>
    <row r="27" spans="2:32" ht="90">
      <c r="B27" s="73">
        <v>23</v>
      </c>
      <c r="C27" s="81" t="s">
        <v>40</v>
      </c>
      <c r="D27" s="81" t="s">
        <v>42</v>
      </c>
      <c r="E27" s="203">
        <f>'Raw Score Check'!H26</f>
        <v>0</v>
      </c>
      <c r="F27" s="204">
        <v>0</v>
      </c>
      <c r="G27" s="204">
        <v>1</v>
      </c>
      <c r="H27" s="204">
        <v>0</v>
      </c>
      <c r="I27" s="205">
        <v>1</v>
      </c>
      <c r="K27" s="77">
        <v>23</v>
      </c>
      <c r="L27" s="81" t="s">
        <v>65</v>
      </c>
      <c r="M27" s="81" t="s">
        <v>66</v>
      </c>
      <c r="N27" s="92">
        <f>'Raw Score Check'!K26</f>
        <v>0</v>
      </c>
      <c r="O27" s="134">
        <v>0</v>
      </c>
      <c r="P27" s="134">
        <v>0</v>
      </c>
      <c r="Q27" s="134">
        <v>0</v>
      </c>
      <c r="R27" s="134">
        <v>0</v>
      </c>
      <c r="U27" s="81"/>
      <c r="V27" s="81"/>
      <c r="W27" s="92"/>
      <c r="X27" s="81"/>
      <c r="Y27" s="81"/>
      <c r="AA27" s="77">
        <v>23</v>
      </c>
      <c r="AB27" s="81" t="s">
        <v>81</v>
      </c>
      <c r="AC27" s="81" t="s">
        <v>84</v>
      </c>
      <c r="AD27" s="93">
        <f>'Raw Score Check'!Q26</f>
        <v>0</v>
      </c>
      <c r="AE27" s="155">
        <v>0</v>
      </c>
      <c r="AF27" s="155">
        <v>1</v>
      </c>
    </row>
    <row r="28" spans="2:32" ht="45">
      <c r="B28" s="73">
        <v>24</v>
      </c>
      <c r="C28" s="81" t="s">
        <v>40</v>
      </c>
      <c r="D28" s="81" t="s">
        <v>41</v>
      </c>
      <c r="E28" s="130">
        <f>'Raw Score Check'!H27</f>
        <v>0</v>
      </c>
      <c r="F28" s="201">
        <v>0</v>
      </c>
      <c r="G28" s="201">
        <v>0</v>
      </c>
      <c r="H28" s="201">
        <v>0</v>
      </c>
      <c r="I28" s="202">
        <v>1</v>
      </c>
      <c r="K28" s="77">
        <v>24</v>
      </c>
      <c r="L28" s="81" t="s">
        <v>61</v>
      </c>
      <c r="M28" s="81" t="s">
        <v>62</v>
      </c>
      <c r="N28" s="92">
        <f>'Raw Score Check'!K27</f>
        <v>0</v>
      </c>
      <c r="O28" s="134">
        <v>0</v>
      </c>
      <c r="P28" s="134">
        <v>1</v>
      </c>
      <c r="Q28" s="134">
        <v>0</v>
      </c>
      <c r="R28" s="134">
        <v>1</v>
      </c>
      <c r="U28" s="81"/>
      <c r="V28" s="81"/>
      <c r="W28" s="92"/>
      <c r="X28" s="81"/>
      <c r="Y28" s="81"/>
      <c r="AA28" s="77">
        <v>24</v>
      </c>
      <c r="AB28" s="81" t="s">
        <v>107</v>
      </c>
      <c r="AC28" s="81" t="s">
        <v>114</v>
      </c>
      <c r="AD28" s="93">
        <f>'Raw Score Check'!Q27</f>
        <v>0</v>
      </c>
      <c r="AE28" s="155">
        <v>0</v>
      </c>
      <c r="AF28" s="155">
        <v>0</v>
      </c>
    </row>
    <row r="29" spans="2:32" ht="60">
      <c r="B29" s="73">
        <v>25</v>
      </c>
      <c r="C29" s="81" t="s">
        <v>40</v>
      </c>
      <c r="D29" s="81" t="s">
        <v>46</v>
      </c>
      <c r="E29" s="203">
        <f>'Raw Score Check'!H28</f>
        <v>0</v>
      </c>
      <c r="F29" s="204">
        <v>1</v>
      </c>
      <c r="G29" s="204">
        <v>0</v>
      </c>
      <c r="H29" s="204">
        <v>0</v>
      </c>
      <c r="I29" s="205">
        <v>1</v>
      </c>
      <c r="K29" s="77">
        <v>25</v>
      </c>
      <c r="L29" s="81" t="s">
        <v>61</v>
      </c>
      <c r="M29" s="81" t="s">
        <v>64</v>
      </c>
      <c r="N29" s="92">
        <f>'Raw Score Check'!K28</f>
        <v>0</v>
      </c>
      <c r="O29" s="134">
        <v>0</v>
      </c>
      <c r="P29" s="134">
        <v>0</v>
      </c>
      <c r="Q29" s="134">
        <v>0</v>
      </c>
      <c r="R29" s="134">
        <v>1</v>
      </c>
      <c r="U29" s="81"/>
      <c r="V29" s="81"/>
      <c r="W29" s="92"/>
      <c r="X29" s="81"/>
      <c r="Y29" s="81"/>
      <c r="AA29" s="77">
        <v>25</v>
      </c>
      <c r="AB29" s="81" t="s">
        <v>71</v>
      </c>
      <c r="AC29" s="81" t="s">
        <v>76</v>
      </c>
      <c r="AD29" s="93">
        <f>'Raw Score Check'!Q28</f>
        <v>0</v>
      </c>
      <c r="AE29" s="155">
        <v>0</v>
      </c>
      <c r="AF29" s="155">
        <v>0</v>
      </c>
    </row>
    <row r="30" spans="2:32" ht="90">
      <c r="B30" s="73">
        <v>26</v>
      </c>
      <c r="C30" s="81" t="s">
        <v>52</v>
      </c>
      <c r="D30" s="81" t="s">
        <v>56</v>
      </c>
      <c r="E30" s="130">
        <f>'Raw Score Check'!H29</f>
        <v>0</v>
      </c>
      <c r="F30" s="201">
        <v>0</v>
      </c>
      <c r="G30" s="201">
        <v>0</v>
      </c>
      <c r="H30" s="201">
        <v>0</v>
      </c>
      <c r="I30" s="202">
        <v>1</v>
      </c>
      <c r="K30" s="77">
        <v>26</v>
      </c>
      <c r="L30" s="81" t="s">
        <v>61</v>
      </c>
      <c r="M30" s="81" t="s">
        <v>62</v>
      </c>
      <c r="N30" s="92">
        <f>'Raw Score Check'!K29</f>
        <v>0</v>
      </c>
      <c r="O30" s="134">
        <v>0</v>
      </c>
      <c r="P30" s="134">
        <v>1</v>
      </c>
      <c r="Q30" s="134">
        <v>0</v>
      </c>
      <c r="R30" s="134">
        <v>1</v>
      </c>
      <c r="U30" s="81"/>
      <c r="V30" s="81"/>
      <c r="W30" s="92"/>
      <c r="X30" s="81"/>
      <c r="Y30" s="81"/>
      <c r="AA30" s="77">
        <v>26</v>
      </c>
      <c r="AB30" s="81" t="s">
        <v>81</v>
      </c>
      <c r="AC30" s="81" t="s">
        <v>91</v>
      </c>
      <c r="AD30" s="93">
        <f>'Raw Score Check'!Q29</f>
        <v>0</v>
      </c>
      <c r="AE30" s="155">
        <v>0</v>
      </c>
      <c r="AF30" s="155">
        <v>0</v>
      </c>
    </row>
    <row r="31" spans="2:32" ht="60">
      <c r="B31" s="73">
        <v>27</v>
      </c>
      <c r="C31" s="81" t="s">
        <v>40</v>
      </c>
      <c r="D31" s="81" t="s">
        <v>41</v>
      </c>
      <c r="E31" s="203">
        <f>'Raw Score Check'!H30</f>
        <v>0</v>
      </c>
      <c r="F31" s="204">
        <v>0</v>
      </c>
      <c r="G31" s="204">
        <v>0</v>
      </c>
      <c r="H31" s="204">
        <v>0</v>
      </c>
      <c r="I31" s="205">
        <v>1</v>
      </c>
      <c r="K31" s="77">
        <v>27</v>
      </c>
      <c r="L31" s="81" t="s">
        <v>65</v>
      </c>
      <c r="M31" s="81" t="s">
        <v>68</v>
      </c>
      <c r="N31" s="92">
        <f>'Raw Score Check'!K30</f>
        <v>0</v>
      </c>
      <c r="O31" s="134">
        <v>0</v>
      </c>
      <c r="P31" s="134">
        <v>0</v>
      </c>
      <c r="Q31" s="134">
        <v>0</v>
      </c>
      <c r="R31" s="134">
        <v>0</v>
      </c>
      <c r="U31" s="81"/>
      <c r="V31" s="81"/>
      <c r="W31" s="92"/>
      <c r="X31" s="81"/>
      <c r="Y31" s="81"/>
      <c r="AA31" s="77">
        <v>27</v>
      </c>
      <c r="AB31" s="81" t="s">
        <v>96</v>
      </c>
      <c r="AC31" s="81" t="s">
        <v>102</v>
      </c>
      <c r="AD31" s="93">
        <f>'Raw Score Check'!Q30</f>
        <v>0</v>
      </c>
      <c r="AE31" s="155">
        <v>0</v>
      </c>
      <c r="AF31" s="155">
        <v>1</v>
      </c>
    </row>
    <row r="32" spans="2:32" ht="45">
      <c r="B32" s="73">
        <v>28</v>
      </c>
      <c r="C32" s="81" t="s">
        <v>52</v>
      </c>
      <c r="D32" s="81" t="s">
        <v>53</v>
      </c>
      <c r="E32" s="130">
        <f>'Raw Score Check'!H31</f>
        <v>0</v>
      </c>
      <c r="F32" s="201">
        <v>1</v>
      </c>
      <c r="G32" s="201">
        <v>0</v>
      </c>
      <c r="H32" s="201">
        <v>0</v>
      </c>
      <c r="I32" s="202">
        <v>1</v>
      </c>
      <c r="K32" s="77">
        <v>28</v>
      </c>
      <c r="L32" s="81" t="s">
        <v>61</v>
      </c>
      <c r="M32" s="81" t="s">
        <v>64</v>
      </c>
      <c r="N32" s="92">
        <f>'Raw Score Check'!K31</f>
        <v>0</v>
      </c>
      <c r="O32" s="134">
        <v>1</v>
      </c>
      <c r="P32" s="134">
        <v>0</v>
      </c>
      <c r="Q32" s="134">
        <v>0</v>
      </c>
      <c r="R32" s="134">
        <v>1</v>
      </c>
      <c r="U32" s="81"/>
      <c r="V32" s="81"/>
      <c r="W32" s="92"/>
      <c r="X32" s="81"/>
      <c r="Y32" s="81"/>
      <c r="AA32" s="77">
        <v>28</v>
      </c>
      <c r="AB32" s="81" t="s">
        <v>71</v>
      </c>
      <c r="AC32" s="81" t="s">
        <v>76</v>
      </c>
      <c r="AD32" s="93">
        <f>'Raw Score Check'!Q31</f>
        <v>0</v>
      </c>
      <c r="AE32" s="155">
        <v>0</v>
      </c>
      <c r="AF32" s="155">
        <v>0</v>
      </c>
    </row>
    <row r="33" spans="2:32" ht="90">
      <c r="B33" s="73">
        <v>29</v>
      </c>
      <c r="C33" s="81" t="s">
        <v>52</v>
      </c>
      <c r="D33" s="81" t="s">
        <v>56</v>
      </c>
      <c r="E33" s="203">
        <f>'Raw Score Check'!H32</f>
        <v>0</v>
      </c>
      <c r="F33" s="204">
        <v>0</v>
      </c>
      <c r="G33" s="204">
        <v>0</v>
      </c>
      <c r="H33" s="204">
        <v>0</v>
      </c>
      <c r="I33" s="205">
        <v>1</v>
      </c>
      <c r="K33" s="77">
        <v>29</v>
      </c>
      <c r="L33" s="81" t="s">
        <v>65</v>
      </c>
      <c r="M33" s="81" t="s">
        <v>67</v>
      </c>
      <c r="N33" s="92">
        <f>'Raw Score Check'!K32</f>
        <v>0</v>
      </c>
      <c r="O33" s="134">
        <v>0</v>
      </c>
      <c r="P33" s="134">
        <v>0</v>
      </c>
      <c r="Q33" s="134">
        <v>0</v>
      </c>
      <c r="R33" s="134">
        <v>0</v>
      </c>
      <c r="U33" s="81"/>
      <c r="V33" s="81"/>
      <c r="W33" s="92"/>
      <c r="X33" s="81"/>
      <c r="Y33" s="81"/>
      <c r="AA33" s="77">
        <v>29</v>
      </c>
      <c r="AB33" s="81" t="s">
        <v>81</v>
      </c>
      <c r="AC33" s="81" t="s">
        <v>92</v>
      </c>
      <c r="AD33" s="93">
        <f>'Raw Score Check'!Q32</f>
        <v>0</v>
      </c>
      <c r="AE33" s="155">
        <v>0</v>
      </c>
      <c r="AF33" s="155">
        <v>0</v>
      </c>
    </row>
    <row r="34" spans="2:32" ht="45">
      <c r="B34" s="73">
        <v>30</v>
      </c>
      <c r="C34" s="81" t="s">
        <v>58</v>
      </c>
      <c r="D34" s="81" t="s">
        <v>59</v>
      </c>
      <c r="E34" s="130">
        <f>'Raw Score Check'!H33</f>
        <v>0</v>
      </c>
      <c r="F34" s="201">
        <v>0</v>
      </c>
      <c r="G34" s="201">
        <v>0</v>
      </c>
      <c r="H34" s="201">
        <v>0</v>
      </c>
      <c r="I34" s="202">
        <v>1</v>
      </c>
      <c r="K34" s="77">
        <v>30</v>
      </c>
      <c r="L34" s="81" t="s">
        <v>65</v>
      </c>
      <c r="M34" s="81" t="s">
        <v>66</v>
      </c>
      <c r="N34" s="92">
        <f>'Raw Score Check'!K33</f>
        <v>0</v>
      </c>
      <c r="O34" s="134">
        <v>0</v>
      </c>
      <c r="P34" s="134">
        <v>0</v>
      </c>
      <c r="Q34" s="134">
        <v>0</v>
      </c>
      <c r="R34" s="134">
        <v>0</v>
      </c>
      <c r="U34" s="81"/>
      <c r="V34" s="81"/>
      <c r="W34" s="92"/>
      <c r="X34" s="81"/>
      <c r="Y34" s="81"/>
      <c r="AA34" s="77">
        <v>30</v>
      </c>
      <c r="AB34" s="81" t="s">
        <v>107</v>
      </c>
      <c r="AC34" s="81" t="s">
        <v>109</v>
      </c>
      <c r="AD34" s="93">
        <f>'Raw Score Check'!Q33</f>
        <v>0</v>
      </c>
      <c r="AE34" s="155">
        <v>0</v>
      </c>
      <c r="AF34" s="155">
        <v>0</v>
      </c>
    </row>
    <row r="35" spans="2:32" ht="60">
      <c r="B35" s="73">
        <v>31</v>
      </c>
      <c r="C35" s="81" t="s">
        <v>58</v>
      </c>
      <c r="D35" s="81" t="s">
        <v>59</v>
      </c>
      <c r="E35" s="203">
        <f>'Raw Score Check'!H34</f>
        <v>0</v>
      </c>
      <c r="F35" s="204">
        <v>0</v>
      </c>
      <c r="G35" s="204">
        <v>0</v>
      </c>
      <c r="H35" s="204">
        <v>0</v>
      </c>
      <c r="I35" s="205">
        <v>1</v>
      </c>
      <c r="K35" s="77">
        <v>31</v>
      </c>
      <c r="L35" s="81" t="s">
        <v>61</v>
      </c>
      <c r="M35" s="81" t="s">
        <v>63</v>
      </c>
      <c r="N35" s="92">
        <f>'Raw Score Check'!K34</f>
        <v>0</v>
      </c>
      <c r="O35" s="134">
        <v>0</v>
      </c>
      <c r="P35" s="134">
        <v>0</v>
      </c>
      <c r="Q35" s="134">
        <v>0</v>
      </c>
      <c r="R35" s="134">
        <v>1</v>
      </c>
      <c r="U35" s="81"/>
      <c r="V35" s="81"/>
      <c r="W35" s="92"/>
      <c r="X35" s="81"/>
      <c r="Y35" s="81"/>
      <c r="AA35" s="77">
        <v>31</v>
      </c>
      <c r="AB35" s="81" t="s">
        <v>96</v>
      </c>
      <c r="AC35" s="81" t="s">
        <v>97</v>
      </c>
      <c r="AD35" s="93">
        <f>'Raw Score Check'!Q34</f>
        <v>0</v>
      </c>
      <c r="AE35" s="155">
        <v>0</v>
      </c>
      <c r="AF35" s="155">
        <v>1</v>
      </c>
    </row>
    <row r="36" spans="2:32" ht="60">
      <c r="B36" s="73">
        <v>32</v>
      </c>
      <c r="C36" s="81" t="s">
        <v>40</v>
      </c>
      <c r="D36" s="81" t="s">
        <v>42</v>
      </c>
      <c r="E36" s="130">
        <f>'Raw Score Check'!H35</f>
        <v>0</v>
      </c>
      <c r="F36" s="201">
        <v>0</v>
      </c>
      <c r="G36" s="201">
        <v>1</v>
      </c>
      <c r="H36" s="201">
        <v>0</v>
      </c>
      <c r="I36" s="202">
        <v>1</v>
      </c>
      <c r="K36" s="77">
        <v>32</v>
      </c>
      <c r="L36" s="81" t="s">
        <v>61</v>
      </c>
      <c r="M36" s="81" t="s">
        <v>64</v>
      </c>
      <c r="N36" s="92">
        <f>'Raw Score Check'!K35</f>
        <v>0</v>
      </c>
      <c r="O36" s="134">
        <v>1</v>
      </c>
      <c r="P36" s="134">
        <v>0</v>
      </c>
      <c r="Q36" s="134">
        <v>0</v>
      </c>
      <c r="R36" s="134">
        <v>1</v>
      </c>
      <c r="U36" s="81"/>
      <c r="V36" s="81"/>
      <c r="W36" s="92"/>
      <c r="X36" s="81"/>
      <c r="Y36" s="81"/>
      <c r="AA36" s="77">
        <v>32</v>
      </c>
      <c r="AB36" s="81" t="s">
        <v>96</v>
      </c>
      <c r="AC36" s="81" t="s">
        <v>99</v>
      </c>
      <c r="AD36" s="93">
        <f>'Raw Score Check'!Q35</f>
        <v>0</v>
      </c>
      <c r="AE36" s="155">
        <v>0</v>
      </c>
      <c r="AF36" s="155">
        <v>0</v>
      </c>
    </row>
    <row r="37" spans="2:32" ht="90">
      <c r="B37" s="73">
        <v>33</v>
      </c>
      <c r="C37" s="81" t="s">
        <v>40</v>
      </c>
      <c r="D37" s="81" t="s">
        <v>43</v>
      </c>
      <c r="E37" s="203">
        <f>'Raw Score Check'!H36</f>
        <v>0</v>
      </c>
      <c r="F37" s="204">
        <v>0</v>
      </c>
      <c r="G37" s="204">
        <v>0</v>
      </c>
      <c r="H37" s="204">
        <v>1</v>
      </c>
      <c r="I37" s="205">
        <v>0</v>
      </c>
      <c r="K37" s="77">
        <v>33</v>
      </c>
      <c r="L37" s="81" t="s">
        <v>65</v>
      </c>
      <c r="M37" s="81" t="s">
        <v>68</v>
      </c>
      <c r="N37" s="92">
        <f>'Raw Score Check'!K36</f>
        <v>0</v>
      </c>
      <c r="O37" s="134">
        <v>0</v>
      </c>
      <c r="P37" s="134">
        <v>0</v>
      </c>
      <c r="Q37" s="134">
        <v>0</v>
      </c>
      <c r="R37" s="134">
        <v>0</v>
      </c>
      <c r="U37" s="81"/>
      <c r="V37" s="81"/>
      <c r="W37" s="92"/>
      <c r="X37" s="81"/>
      <c r="Y37" s="81"/>
      <c r="AA37" s="77">
        <v>33</v>
      </c>
      <c r="AB37" s="81" t="s">
        <v>81</v>
      </c>
      <c r="AC37" s="81" t="s">
        <v>82</v>
      </c>
      <c r="AD37" s="93">
        <f>'Raw Score Check'!Q36</f>
        <v>0</v>
      </c>
      <c r="AE37" s="155">
        <v>0</v>
      </c>
      <c r="AF37" s="155">
        <v>0</v>
      </c>
    </row>
    <row r="38" spans="2:32" ht="60">
      <c r="B38" s="73">
        <v>34</v>
      </c>
      <c r="C38" s="81" t="s">
        <v>52</v>
      </c>
      <c r="D38" s="81" t="s">
        <v>53</v>
      </c>
      <c r="E38" s="130">
        <f>'Raw Score Check'!H37</f>
        <v>0</v>
      </c>
      <c r="F38" s="201">
        <v>1</v>
      </c>
      <c r="G38" s="201">
        <v>0</v>
      </c>
      <c r="H38" s="201">
        <v>1</v>
      </c>
      <c r="I38" s="202">
        <v>0</v>
      </c>
      <c r="K38" s="77">
        <v>34</v>
      </c>
      <c r="L38" s="81" t="s">
        <v>65</v>
      </c>
      <c r="M38" s="81" t="s">
        <v>67</v>
      </c>
      <c r="N38" s="92">
        <f>'Raw Score Check'!K37</f>
        <v>0</v>
      </c>
      <c r="O38" s="134">
        <v>0</v>
      </c>
      <c r="P38" s="134">
        <v>0</v>
      </c>
      <c r="Q38" s="134">
        <v>0</v>
      </c>
      <c r="R38" s="134">
        <v>0</v>
      </c>
      <c r="U38" s="81"/>
      <c r="V38" s="81"/>
      <c r="W38" s="92"/>
      <c r="X38" s="81"/>
      <c r="Y38" s="81"/>
      <c r="AA38" s="77">
        <v>34</v>
      </c>
      <c r="AB38" s="81" t="s">
        <v>71</v>
      </c>
      <c r="AC38" s="81" t="s">
        <v>74</v>
      </c>
      <c r="AD38" s="93">
        <f>'Raw Score Check'!Q37</f>
        <v>0</v>
      </c>
      <c r="AE38" s="155">
        <v>0</v>
      </c>
      <c r="AF38" s="155">
        <v>0</v>
      </c>
    </row>
    <row r="39" spans="2:32" ht="60">
      <c r="B39" s="73">
        <v>35</v>
      </c>
      <c r="C39" s="81" t="s">
        <v>52</v>
      </c>
      <c r="D39" s="81" t="s">
        <v>57</v>
      </c>
      <c r="E39" s="203">
        <f>'Raw Score Check'!H38</f>
        <v>0</v>
      </c>
      <c r="F39" s="204">
        <v>0</v>
      </c>
      <c r="G39" s="204">
        <v>0</v>
      </c>
      <c r="H39" s="204">
        <v>1</v>
      </c>
      <c r="I39" s="205">
        <v>0</v>
      </c>
      <c r="K39" s="77">
        <v>35</v>
      </c>
      <c r="L39" s="81" t="s">
        <v>65</v>
      </c>
      <c r="M39" s="81" t="s">
        <v>68</v>
      </c>
      <c r="N39" s="92">
        <f>'Raw Score Check'!K38</f>
        <v>0</v>
      </c>
      <c r="O39" s="134">
        <v>0</v>
      </c>
      <c r="P39" s="134">
        <v>0</v>
      </c>
      <c r="Q39" s="134">
        <v>0</v>
      </c>
      <c r="R39" s="134">
        <v>0</v>
      </c>
      <c r="U39" s="81"/>
      <c r="V39" s="81"/>
      <c r="W39" s="92"/>
      <c r="X39" s="81"/>
      <c r="Y39" s="81"/>
      <c r="AA39" s="77">
        <v>35</v>
      </c>
      <c r="AB39" s="81" t="s">
        <v>71</v>
      </c>
      <c r="AC39" s="81" t="s">
        <v>74</v>
      </c>
      <c r="AD39" s="93">
        <f>'Raw Score Check'!Q38</f>
        <v>0</v>
      </c>
      <c r="AE39" s="155">
        <v>1</v>
      </c>
      <c r="AF39" s="155">
        <v>0</v>
      </c>
    </row>
    <row r="40" spans="2:32" ht="45">
      <c r="B40" s="73">
        <v>36</v>
      </c>
      <c r="C40" s="81" t="s">
        <v>40</v>
      </c>
      <c r="D40" s="81" t="s">
        <v>42</v>
      </c>
      <c r="E40" s="130">
        <f>'Raw Score Check'!H39</f>
        <v>0</v>
      </c>
      <c r="F40" s="201">
        <v>0</v>
      </c>
      <c r="G40" s="201">
        <v>1</v>
      </c>
      <c r="H40" s="201">
        <v>1</v>
      </c>
      <c r="I40" s="202">
        <v>0</v>
      </c>
      <c r="K40" s="77">
        <v>36</v>
      </c>
      <c r="L40" s="81" t="s">
        <v>61</v>
      </c>
      <c r="M40" s="81" t="s">
        <v>64</v>
      </c>
      <c r="N40" s="92">
        <f>'Raw Score Check'!K39</f>
        <v>0</v>
      </c>
      <c r="O40" s="134">
        <v>1</v>
      </c>
      <c r="P40" s="134">
        <v>0</v>
      </c>
      <c r="Q40" s="134">
        <v>1</v>
      </c>
      <c r="R40" s="134">
        <v>0</v>
      </c>
      <c r="U40" s="81"/>
      <c r="V40" s="81"/>
      <c r="W40" s="92"/>
      <c r="X40" s="81"/>
      <c r="Y40" s="81"/>
      <c r="AA40" s="77">
        <v>36</v>
      </c>
      <c r="AB40" s="81" t="s">
        <v>107</v>
      </c>
      <c r="AC40" s="81" t="s">
        <v>112</v>
      </c>
      <c r="AD40" s="93">
        <f>'Raw Score Check'!Q39</f>
        <v>0</v>
      </c>
      <c r="AE40" s="155">
        <v>0</v>
      </c>
      <c r="AF40" s="155">
        <v>0</v>
      </c>
    </row>
    <row r="41" spans="2:32" ht="60">
      <c r="B41" s="73">
        <v>37</v>
      </c>
      <c r="C41" s="81" t="s">
        <v>40</v>
      </c>
      <c r="D41" s="81" t="s">
        <v>46</v>
      </c>
      <c r="E41" s="203">
        <f>'Raw Score Check'!H40</f>
        <v>0</v>
      </c>
      <c r="F41" s="204">
        <v>1</v>
      </c>
      <c r="G41" s="204">
        <v>0</v>
      </c>
      <c r="H41" s="204">
        <v>1</v>
      </c>
      <c r="I41" s="205">
        <v>0</v>
      </c>
      <c r="K41" s="77">
        <v>37</v>
      </c>
      <c r="L41" s="81" t="s">
        <v>61</v>
      </c>
      <c r="M41" s="81" t="s">
        <v>62</v>
      </c>
      <c r="N41" s="92">
        <f>'Raw Score Check'!K40</f>
        <v>0</v>
      </c>
      <c r="O41" s="134">
        <v>0</v>
      </c>
      <c r="P41" s="134">
        <v>1</v>
      </c>
      <c r="Q41" s="134">
        <v>1</v>
      </c>
      <c r="R41" s="134">
        <v>0</v>
      </c>
      <c r="U41" s="81"/>
      <c r="V41" s="81"/>
      <c r="W41" s="92"/>
      <c r="X41" s="81"/>
      <c r="Y41" s="81"/>
      <c r="AA41" s="77">
        <v>37</v>
      </c>
      <c r="AB41" s="81" t="s">
        <v>96</v>
      </c>
      <c r="AC41" s="81" t="s">
        <v>103</v>
      </c>
      <c r="AD41" s="93">
        <f>'Raw Score Check'!Q40</f>
        <v>0</v>
      </c>
      <c r="AE41" s="155">
        <v>0</v>
      </c>
      <c r="AF41" s="155">
        <v>0</v>
      </c>
    </row>
    <row r="42" spans="2:32" ht="60.75" thickBot="1">
      <c r="B42" s="73">
        <v>38</v>
      </c>
      <c r="C42" s="81" t="s">
        <v>40</v>
      </c>
      <c r="D42" s="81" t="s">
        <v>41</v>
      </c>
      <c r="E42" s="130">
        <f>'Raw Score Check'!H41</f>
        <v>0</v>
      </c>
      <c r="F42" s="201">
        <v>0</v>
      </c>
      <c r="G42" s="201">
        <v>0</v>
      </c>
      <c r="H42" s="201">
        <v>1</v>
      </c>
      <c r="I42" s="202">
        <v>0</v>
      </c>
      <c r="K42" s="77">
        <v>38</v>
      </c>
      <c r="L42" s="81" t="s">
        <v>65</v>
      </c>
      <c r="M42" s="81" t="s">
        <v>66</v>
      </c>
      <c r="N42" s="92">
        <f>'Raw Score Check'!K41</f>
        <v>0</v>
      </c>
      <c r="O42" s="134">
        <v>0</v>
      </c>
      <c r="P42" s="134">
        <v>0</v>
      </c>
      <c r="Q42" s="134">
        <v>0</v>
      </c>
      <c r="R42" s="134">
        <v>0</v>
      </c>
      <c r="U42" s="81"/>
      <c r="V42" s="81"/>
      <c r="W42" s="92"/>
      <c r="X42" s="81"/>
      <c r="Y42" s="81"/>
      <c r="AA42" s="78">
        <v>38</v>
      </c>
      <c r="AB42" s="81" t="s">
        <v>96</v>
      </c>
      <c r="AC42" s="81" t="s">
        <v>103</v>
      </c>
      <c r="AD42" s="93">
        <f>'Raw Score Check'!Q41</f>
        <v>0</v>
      </c>
      <c r="AE42" s="155">
        <v>0</v>
      </c>
      <c r="AF42" s="155">
        <v>0</v>
      </c>
    </row>
    <row r="43" spans="2:32" ht="60">
      <c r="B43" s="73">
        <v>39</v>
      </c>
      <c r="C43" s="81" t="s">
        <v>40</v>
      </c>
      <c r="D43" s="81" t="s">
        <v>46</v>
      </c>
      <c r="E43" s="203">
        <f>'Raw Score Check'!H42</f>
        <v>0</v>
      </c>
      <c r="F43" s="204">
        <v>1</v>
      </c>
      <c r="G43" s="204">
        <v>0</v>
      </c>
      <c r="H43" s="204">
        <v>1</v>
      </c>
      <c r="I43" s="205">
        <v>0</v>
      </c>
      <c r="K43" s="77">
        <v>39</v>
      </c>
      <c r="L43" s="81" t="s">
        <v>65</v>
      </c>
      <c r="M43" s="81" t="s">
        <v>67</v>
      </c>
      <c r="N43" s="92">
        <f>'Raw Score Check'!K42</f>
        <v>0</v>
      </c>
      <c r="O43" s="134">
        <v>0</v>
      </c>
      <c r="P43" s="134">
        <v>0</v>
      </c>
      <c r="Q43" s="134">
        <v>0</v>
      </c>
      <c r="R43" s="134">
        <v>0</v>
      </c>
      <c r="U43" s="81"/>
      <c r="V43" s="81"/>
      <c r="W43" s="92"/>
      <c r="X43" s="81"/>
      <c r="Y43" s="81"/>
      <c r="AB43" s="81"/>
      <c r="AC43" s="81"/>
    </row>
    <row r="44" spans="2:32" ht="30">
      <c r="B44" s="73">
        <v>40</v>
      </c>
      <c r="C44" s="81" t="s">
        <v>52</v>
      </c>
      <c r="D44" s="81" t="s">
        <v>57</v>
      </c>
      <c r="E44" s="130">
        <f>'Raw Score Check'!H43</f>
        <v>0</v>
      </c>
      <c r="F44" s="201">
        <v>0</v>
      </c>
      <c r="G44" s="201">
        <v>0</v>
      </c>
      <c r="H44" s="201">
        <v>1</v>
      </c>
      <c r="I44" s="202">
        <v>0</v>
      </c>
      <c r="K44" s="77">
        <v>40</v>
      </c>
      <c r="L44" s="81" t="s">
        <v>61</v>
      </c>
      <c r="M44" s="81" t="s">
        <v>64</v>
      </c>
      <c r="N44" s="92">
        <f>'Raw Score Check'!K43</f>
        <v>0</v>
      </c>
      <c r="O44" s="134">
        <v>0</v>
      </c>
      <c r="P44" s="134">
        <v>0</v>
      </c>
      <c r="Q44" s="134">
        <v>1</v>
      </c>
      <c r="R44" s="134">
        <v>0</v>
      </c>
      <c r="U44" s="81"/>
      <c r="V44" s="81"/>
      <c r="W44" s="92"/>
      <c r="X44" s="81"/>
      <c r="Y44" s="81"/>
      <c r="AB44" s="81"/>
      <c r="AC44" s="81"/>
    </row>
    <row r="45" spans="2:32" ht="30">
      <c r="B45" s="73">
        <v>41</v>
      </c>
      <c r="C45" s="81" t="s">
        <v>40</v>
      </c>
      <c r="D45" s="81" t="s">
        <v>42</v>
      </c>
      <c r="E45" s="203">
        <f>'Raw Score Check'!H44</f>
        <v>0</v>
      </c>
      <c r="F45" s="204">
        <v>0</v>
      </c>
      <c r="G45" s="204">
        <v>1</v>
      </c>
      <c r="H45" s="204">
        <v>1</v>
      </c>
      <c r="I45" s="205">
        <v>0</v>
      </c>
      <c r="K45" s="77">
        <v>41</v>
      </c>
      <c r="L45" s="81" t="s">
        <v>65</v>
      </c>
      <c r="M45" s="81" t="s">
        <v>67</v>
      </c>
      <c r="N45" s="92">
        <f>'Raw Score Check'!K44</f>
        <v>0</v>
      </c>
      <c r="O45" s="134">
        <v>0</v>
      </c>
      <c r="P45" s="134">
        <v>0</v>
      </c>
      <c r="Q45" s="134">
        <v>0</v>
      </c>
      <c r="R45" s="134">
        <v>0</v>
      </c>
      <c r="U45" s="81"/>
      <c r="V45" s="81"/>
      <c r="W45" s="92"/>
      <c r="X45" s="81"/>
      <c r="Y45" s="81"/>
      <c r="AB45" s="81"/>
      <c r="AC45" s="81"/>
    </row>
    <row r="46" spans="2:32" ht="30">
      <c r="B46" s="73">
        <v>42</v>
      </c>
      <c r="C46" s="81" t="s">
        <v>40</v>
      </c>
      <c r="D46" s="81" t="s">
        <v>45</v>
      </c>
      <c r="E46" s="130">
        <f>'Raw Score Check'!H45</f>
        <v>0</v>
      </c>
      <c r="F46" s="201">
        <v>0</v>
      </c>
      <c r="G46" s="201">
        <v>0</v>
      </c>
      <c r="H46" s="201">
        <v>1</v>
      </c>
      <c r="I46" s="202">
        <v>0</v>
      </c>
      <c r="K46" s="77">
        <v>42</v>
      </c>
      <c r="L46" s="81" t="s">
        <v>61</v>
      </c>
      <c r="M46" s="81" t="s">
        <v>63</v>
      </c>
      <c r="N46" s="92">
        <f>'Raw Score Check'!K45</f>
        <v>0</v>
      </c>
      <c r="O46" s="134">
        <v>0</v>
      </c>
      <c r="P46" s="134">
        <v>0</v>
      </c>
      <c r="Q46" s="134">
        <v>1</v>
      </c>
      <c r="R46" s="134">
        <v>0</v>
      </c>
      <c r="U46" s="81"/>
      <c r="V46" s="81"/>
      <c r="W46" s="92"/>
      <c r="X46" s="81"/>
      <c r="Y46" s="81"/>
      <c r="AB46" s="81"/>
      <c r="AC46" s="81"/>
    </row>
    <row r="47" spans="2:32" ht="30">
      <c r="B47" s="73">
        <v>43</v>
      </c>
      <c r="C47" s="81" t="s">
        <v>52</v>
      </c>
      <c r="D47" s="81" t="s">
        <v>54</v>
      </c>
      <c r="E47" s="203">
        <f>'Raw Score Check'!H46</f>
        <v>0</v>
      </c>
      <c r="F47" s="204">
        <v>0</v>
      </c>
      <c r="G47" s="204">
        <v>0</v>
      </c>
      <c r="H47" s="204">
        <v>0</v>
      </c>
      <c r="I47" s="205">
        <v>1</v>
      </c>
      <c r="K47" s="77">
        <v>43</v>
      </c>
      <c r="L47" s="81" t="s">
        <v>61</v>
      </c>
      <c r="M47" s="81" t="s">
        <v>62</v>
      </c>
      <c r="N47" s="92">
        <f>'Raw Score Check'!K46</f>
        <v>0</v>
      </c>
      <c r="O47" s="134">
        <v>0</v>
      </c>
      <c r="P47" s="134">
        <v>1</v>
      </c>
      <c r="Q47" s="134">
        <v>1</v>
      </c>
      <c r="R47" s="134">
        <v>0</v>
      </c>
      <c r="U47" s="81"/>
      <c r="V47" s="81"/>
      <c r="W47" s="92"/>
      <c r="X47" s="81"/>
      <c r="Y47" s="81"/>
      <c r="AB47" s="81"/>
      <c r="AC47" s="81"/>
    </row>
    <row r="48" spans="2:32" ht="60.75" thickBot="1">
      <c r="B48" s="73">
        <v>44</v>
      </c>
      <c r="C48" s="81" t="s">
        <v>40</v>
      </c>
      <c r="D48" s="81" t="s">
        <v>46</v>
      </c>
      <c r="E48" s="130">
        <f>'Raw Score Check'!H47</f>
        <v>0</v>
      </c>
      <c r="F48" s="201">
        <v>1</v>
      </c>
      <c r="G48" s="201">
        <v>0</v>
      </c>
      <c r="H48" s="201">
        <v>0</v>
      </c>
      <c r="I48" s="202">
        <v>1</v>
      </c>
      <c r="K48" s="78">
        <v>44</v>
      </c>
      <c r="L48" s="81" t="s">
        <v>61</v>
      </c>
      <c r="M48" s="81" t="s">
        <v>64</v>
      </c>
      <c r="N48" s="92">
        <f>'Raw Score Check'!K47</f>
        <v>0</v>
      </c>
      <c r="O48" s="134">
        <v>1</v>
      </c>
      <c r="P48" s="134">
        <v>0</v>
      </c>
      <c r="Q48" s="134">
        <v>1</v>
      </c>
      <c r="R48" s="134">
        <v>0</v>
      </c>
      <c r="U48" s="81"/>
      <c r="V48" s="81"/>
      <c r="W48" s="92"/>
      <c r="X48" s="81"/>
      <c r="Y48" s="81"/>
      <c r="AB48" s="81"/>
      <c r="AC48" s="81"/>
    </row>
    <row r="49" spans="2:25" ht="30">
      <c r="B49" s="73">
        <v>45</v>
      </c>
      <c r="C49" s="81" t="s">
        <v>40</v>
      </c>
      <c r="D49" s="81" t="s">
        <v>41</v>
      </c>
      <c r="E49" s="203">
        <f>'Raw Score Check'!H48</f>
        <v>0</v>
      </c>
      <c r="F49" s="204">
        <v>0</v>
      </c>
      <c r="G49" s="204">
        <v>0</v>
      </c>
      <c r="H49" s="204">
        <v>0</v>
      </c>
      <c r="I49" s="205">
        <v>1</v>
      </c>
      <c r="S49" s="81"/>
      <c r="V49" s="81"/>
      <c r="W49" s="92"/>
      <c r="X49" s="81"/>
      <c r="Y49" s="81"/>
    </row>
    <row r="50" spans="2:25" ht="30">
      <c r="B50" s="73">
        <v>46</v>
      </c>
      <c r="C50" s="81" t="s">
        <v>40</v>
      </c>
      <c r="D50" s="81" t="s">
        <v>42</v>
      </c>
      <c r="E50" s="130">
        <f>'Raw Score Check'!H49</f>
        <v>0</v>
      </c>
      <c r="F50" s="201">
        <v>0</v>
      </c>
      <c r="G50" s="201">
        <v>1</v>
      </c>
      <c r="H50" s="201">
        <v>0</v>
      </c>
      <c r="I50" s="202">
        <v>1</v>
      </c>
      <c r="L50" s="80" t="s">
        <v>125</v>
      </c>
      <c r="M50" s="81" t="s">
        <v>47</v>
      </c>
      <c r="O50" s="75" t="s">
        <v>48</v>
      </c>
      <c r="S50" s="81"/>
      <c r="V50" s="81"/>
      <c r="W50" s="92"/>
      <c r="X50" s="81"/>
      <c r="Y50" s="81"/>
    </row>
    <row r="51" spans="2:25" ht="60">
      <c r="B51" s="73">
        <v>47</v>
      </c>
      <c r="C51" s="81" t="s">
        <v>40</v>
      </c>
      <c r="D51" s="81" t="s">
        <v>46</v>
      </c>
      <c r="E51" s="203">
        <f>'Raw Score Check'!H50</f>
        <v>0</v>
      </c>
      <c r="F51" s="204">
        <v>1</v>
      </c>
      <c r="G51" s="204">
        <v>0</v>
      </c>
      <c r="H51" s="204">
        <v>0</v>
      </c>
      <c r="I51" s="205">
        <v>1</v>
      </c>
      <c r="L51" s="81" t="s">
        <v>41</v>
      </c>
      <c r="S51" s="81"/>
      <c r="V51" s="81"/>
      <c r="W51" s="92"/>
      <c r="X51" s="81"/>
      <c r="Y51" s="81"/>
    </row>
    <row r="52" spans="2:25" ht="30">
      <c r="B52" s="73">
        <v>48</v>
      </c>
      <c r="C52" s="81" t="s">
        <v>40</v>
      </c>
      <c r="D52" s="81" t="s">
        <v>41</v>
      </c>
      <c r="E52" s="130">
        <f>'Raw Score Check'!H51</f>
        <v>0</v>
      </c>
      <c r="F52" s="201">
        <v>0</v>
      </c>
      <c r="G52" s="201">
        <v>0</v>
      </c>
      <c r="H52" s="201">
        <v>0</v>
      </c>
      <c r="I52" s="202">
        <v>1</v>
      </c>
      <c r="S52" s="81"/>
      <c r="V52" s="81"/>
      <c r="W52" s="92"/>
      <c r="X52" s="81"/>
      <c r="Y52" s="81"/>
    </row>
    <row r="53" spans="2:25" ht="30">
      <c r="B53" s="73">
        <v>49</v>
      </c>
      <c r="C53" s="81" t="s">
        <v>40</v>
      </c>
      <c r="D53" s="81" t="s">
        <v>42</v>
      </c>
      <c r="E53" s="203">
        <f>'Raw Score Check'!H52</f>
        <v>0</v>
      </c>
      <c r="F53" s="204">
        <v>0</v>
      </c>
      <c r="G53" s="204">
        <v>0</v>
      </c>
      <c r="H53" s="204">
        <v>0</v>
      </c>
      <c r="I53" s="205">
        <v>1</v>
      </c>
      <c r="S53" s="81"/>
      <c r="V53" s="81"/>
      <c r="W53" s="92"/>
      <c r="X53" s="81"/>
      <c r="Y53" s="81"/>
    </row>
    <row r="54" spans="2:25" ht="45">
      <c r="B54" s="73">
        <v>50</v>
      </c>
      <c r="C54" s="81" t="s">
        <v>58</v>
      </c>
      <c r="D54" s="81" t="s">
        <v>60</v>
      </c>
      <c r="E54" s="130">
        <f>'Raw Score Check'!H53</f>
        <v>0</v>
      </c>
      <c r="F54" s="201">
        <v>0</v>
      </c>
      <c r="G54" s="201">
        <v>0</v>
      </c>
      <c r="H54" s="201">
        <v>0</v>
      </c>
      <c r="I54" s="202">
        <v>1</v>
      </c>
    </row>
    <row r="55" spans="2:25" ht="45">
      <c r="B55" s="73">
        <v>51</v>
      </c>
      <c r="C55" s="81" t="s">
        <v>58</v>
      </c>
      <c r="D55" s="81" t="s">
        <v>60</v>
      </c>
      <c r="E55" s="203">
        <f>'Raw Score Check'!H54</f>
        <v>0</v>
      </c>
      <c r="F55" s="204">
        <v>0</v>
      </c>
      <c r="G55" s="204">
        <v>1</v>
      </c>
      <c r="H55" s="204">
        <v>0</v>
      </c>
      <c r="I55" s="205">
        <v>1</v>
      </c>
    </row>
    <row r="56" spans="2:25" ht="45.75" thickBot="1">
      <c r="B56" s="74">
        <v>52</v>
      </c>
      <c r="C56" s="81" t="s">
        <v>58</v>
      </c>
      <c r="D56" s="81" t="s">
        <v>60</v>
      </c>
      <c r="E56" s="130">
        <f>'Raw Score Check'!H55</f>
        <v>0</v>
      </c>
      <c r="F56" s="201">
        <v>0</v>
      </c>
      <c r="G56" s="201">
        <v>0</v>
      </c>
      <c r="H56" s="201">
        <v>0</v>
      </c>
      <c r="I56" s="202">
        <v>1</v>
      </c>
    </row>
  </sheetData>
  <dataValidations count="7">
    <dataValidation type="list" allowBlank="1" showInputMessage="1" showErrorMessage="1" sqref="AC5:AC42">
      <formula1>MathDependentList22</formula1>
    </dataValidation>
    <dataValidation type="list" allowBlank="1" showInputMessage="1" showErrorMessage="1" sqref="E5:I56">
      <formula1>ReadingDependentList</formula1>
    </dataValidation>
    <dataValidation type="list" allowBlank="1" showInputMessage="1" showErrorMessage="1" sqref="L5:L48">
      <formula1>WritingHeader</formula1>
    </dataValidation>
    <dataValidation type="list" allowBlank="1" showInputMessage="1" showErrorMessage="1" sqref="N5:R48">
      <formula1>WritingDependentList</formula1>
    </dataValidation>
    <dataValidation type="list" allowBlank="1" showInputMessage="1" showErrorMessage="1" sqref="D5:D56">
      <formula1>ReadingDependentList2</formula1>
    </dataValidation>
    <dataValidation type="list" allowBlank="1" showInputMessage="1" showErrorMessage="1" sqref="M5:M48">
      <formula1>WritingDependentList2</formula1>
    </dataValidation>
    <dataValidation type="list" allowBlank="1" showInputMessage="1" showErrorMessage="1" sqref="V5:V24">
      <formula1>MathDependentList11</formula1>
    </dataValidation>
  </dataValidations>
  <pageMargins left="0.7" right="0.7" top="0.75" bottom="0.75" header="0.3" footer="0.3"/>
  <tableParts count="4">
    <tablePart r:id="rId1"/>
    <tablePart r:id="rId2"/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'Skill Key'!$A$3:$E$3</xm:f>
          </x14:formula1>
          <xm:sqref>U5:U24 AB5:AB42</xm:sqref>
        </x14:dataValidation>
        <x14:dataValidation type="list" allowBlank="1" showInputMessage="1" showErrorMessage="1">
          <x14:formula1>
            <xm:f>Key!$G$3:$J$3</xm:f>
          </x14:formula1>
          <xm:sqref>C5:C56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>
  <dimension ref="A1:AF56"/>
  <sheetViews>
    <sheetView topLeftCell="K42" zoomScale="70" zoomScaleNormal="70" workbookViewId="0">
      <selection activeCell="AC42" sqref="AC42"/>
    </sheetView>
  </sheetViews>
  <sheetFormatPr defaultColWidth="9.140625" defaultRowHeight="15"/>
  <cols>
    <col min="1" max="1" width="5.140625" style="75" customWidth="1"/>
    <col min="2" max="2" width="11.140625" style="75" customWidth="1"/>
    <col min="3" max="5" width="15.7109375" style="81" customWidth="1"/>
    <col min="6" max="6" width="9.140625" style="75"/>
    <col min="7" max="7" width="11.140625" style="75" customWidth="1"/>
    <col min="8" max="9" width="15.7109375" style="81" customWidth="1"/>
    <col min="10" max="10" width="9.140625" style="75"/>
    <col min="11" max="11" width="11.140625" style="75" customWidth="1"/>
    <col min="12" max="13" width="15.7109375" style="81" customWidth="1"/>
    <col min="14" max="14" width="15.7109375" style="92" customWidth="1"/>
    <col min="15" max="15" width="9.140625" style="75"/>
    <col min="16" max="16" width="11.140625" style="75" customWidth="1"/>
    <col min="17" max="17" width="17.85546875" style="81" customWidth="1"/>
    <col min="18" max="18" width="15.7109375" style="81" customWidth="1"/>
    <col min="19" max="20" width="9.140625" style="75"/>
    <col min="21" max="21" width="15.7109375" style="75" customWidth="1"/>
    <col min="22" max="22" width="12.140625" style="75" customWidth="1"/>
    <col min="23" max="23" width="9.140625" style="93"/>
    <col min="24" max="27" width="9.140625" style="75"/>
    <col min="28" max="28" width="8.85546875" style="75" customWidth="1"/>
    <col min="29" max="29" width="21.7109375" style="75" customWidth="1"/>
    <col min="30" max="30" width="9.140625" style="93"/>
    <col min="31" max="16384" width="9.140625" style="75"/>
  </cols>
  <sheetData>
    <row r="1" spans="1:32">
      <c r="A1" s="79" t="s">
        <v>10</v>
      </c>
      <c r="S1" s="81"/>
      <c r="V1" s="81"/>
      <c r="W1" s="92"/>
      <c r="X1" s="81"/>
      <c r="Y1" s="81"/>
    </row>
    <row r="2" spans="1:32">
      <c r="S2" s="81"/>
      <c r="V2" s="81"/>
      <c r="W2" s="92"/>
      <c r="X2" s="81"/>
      <c r="Y2" s="81"/>
    </row>
    <row r="3" spans="1:32">
      <c r="S3" s="81"/>
      <c r="V3" s="81"/>
      <c r="W3" s="92"/>
      <c r="X3" s="81"/>
      <c r="Y3" s="81"/>
    </row>
    <row r="4" spans="1:32" ht="45.75" thickBot="1">
      <c r="B4" s="79" t="s">
        <v>117</v>
      </c>
      <c r="C4" s="80" t="s">
        <v>118</v>
      </c>
      <c r="D4" s="80" t="s">
        <v>119</v>
      </c>
      <c r="E4" s="200" t="s">
        <v>126</v>
      </c>
      <c r="F4" s="206" t="s">
        <v>139</v>
      </c>
      <c r="G4" s="206" t="s">
        <v>140</v>
      </c>
      <c r="H4" s="206" t="s">
        <v>143</v>
      </c>
      <c r="I4" s="207" t="s">
        <v>144</v>
      </c>
      <c r="K4" s="79" t="s">
        <v>120</v>
      </c>
      <c r="L4" s="80" t="s">
        <v>118</v>
      </c>
      <c r="M4" s="80" t="s">
        <v>119</v>
      </c>
      <c r="N4" s="132" t="s">
        <v>126</v>
      </c>
      <c r="O4" s="132" t="s">
        <v>139</v>
      </c>
      <c r="P4" s="132" t="s">
        <v>140</v>
      </c>
      <c r="Q4" s="132" t="s">
        <v>143</v>
      </c>
      <c r="R4" s="132" t="s">
        <v>144</v>
      </c>
      <c r="T4" s="79" t="s">
        <v>121</v>
      </c>
      <c r="U4" s="80" t="s">
        <v>118</v>
      </c>
      <c r="V4" s="80" t="s">
        <v>119</v>
      </c>
      <c r="W4" s="132" t="s">
        <v>126</v>
      </c>
      <c r="X4" s="208" t="s">
        <v>143</v>
      </c>
      <c r="Y4" s="208" t="s">
        <v>144</v>
      </c>
      <c r="AA4" s="79" t="s">
        <v>122</v>
      </c>
      <c r="AB4" s="80" t="s">
        <v>118</v>
      </c>
      <c r="AC4" s="80" t="s">
        <v>119</v>
      </c>
      <c r="AD4" s="65" t="s">
        <v>126</v>
      </c>
      <c r="AE4" s="65" t="s">
        <v>143</v>
      </c>
      <c r="AF4" s="65" t="s">
        <v>144</v>
      </c>
    </row>
    <row r="5" spans="1:32" ht="60">
      <c r="B5" s="73">
        <v>1</v>
      </c>
      <c r="C5" s="81" t="s">
        <v>40</v>
      </c>
      <c r="D5" s="81" t="s">
        <v>44</v>
      </c>
      <c r="E5" s="203">
        <f>'Raw Score Check'!H4</f>
        <v>0</v>
      </c>
      <c r="F5" s="204">
        <v>0</v>
      </c>
      <c r="G5" s="204">
        <v>0</v>
      </c>
      <c r="H5" s="204">
        <v>0</v>
      </c>
      <c r="I5" s="205">
        <v>0</v>
      </c>
      <c r="K5" s="76">
        <v>1</v>
      </c>
      <c r="L5" s="81" t="s">
        <v>65</v>
      </c>
      <c r="M5" s="81" t="s">
        <v>66</v>
      </c>
      <c r="N5" s="92">
        <f>'Raw Score Check'!K4</f>
        <v>0</v>
      </c>
      <c r="O5" s="134">
        <v>0</v>
      </c>
      <c r="P5" s="134">
        <v>0</v>
      </c>
      <c r="Q5" s="134">
        <v>0</v>
      </c>
      <c r="R5" s="134">
        <v>0</v>
      </c>
      <c r="T5" s="77">
        <v>1</v>
      </c>
      <c r="U5" s="81" t="s">
        <v>81</v>
      </c>
      <c r="V5" s="81" t="s">
        <v>94</v>
      </c>
      <c r="W5" s="92">
        <f>'Raw Score Check'!N4</f>
        <v>0</v>
      </c>
      <c r="X5" s="154">
        <v>0</v>
      </c>
      <c r="Y5" s="154">
        <v>0</v>
      </c>
      <c r="AA5" s="77">
        <v>1</v>
      </c>
      <c r="AB5" s="81" t="s">
        <v>96</v>
      </c>
      <c r="AC5" s="81" t="s">
        <v>102</v>
      </c>
      <c r="AD5" s="93">
        <f>'Raw Score Check'!Q4</f>
        <v>0</v>
      </c>
      <c r="AE5" s="155">
        <v>0</v>
      </c>
      <c r="AF5" s="155">
        <v>0</v>
      </c>
    </row>
    <row r="6" spans="1:32" ht="60">
      <c r="B6" s="73">
        <v>2</v>
      </c>
      <c r="C6" s="81" t="s">
        <v>40</v>
      </c>
      <c r="D6" s="81" t="s">
        <v>46</v>
      </c>
      <c r="E6" s="130">
        <f>'Raw Score Check'!H5</f>
        <v>0</v>
      </c>
      <c r="F6" s="204">
        <v>1</v>
      </c>
      <c r="G6" s="204">
        <v>0</v>
      </c>
      <c r="H6" s="201">
        <v>0</v>
      </c>
      <c r="I6" s="202">
        <v>0</v>
      </c>
      <c r="K6" s="77">
        <v>2</v>
      </c>
      <c r="L6" s="81" t="s">
        <v>61</v>
      </c>
      <c r="M6" s="81" t="s">
        <v>64</v>
      </c>
      <c r="N6" s="92">
        <f>'Raw Score Check'!K5</f>
        <v>0</v>
      </c>
      <c r="O6" s="134">
        <v>0</v>
      </c>
      <c r="P6" s="134">
        <v>0</v>
      </c>
      <c r="Q6" s="134">
        <v>0</v>
      </c>
      <c r="R6" s="134">
        <v>0</v>
      </c>
      <c r="T6" s="77">
        <v>2</v>
      </c>
      <c r="U6" s="81" t="s">
        <v>71</v>
      </c>
      <c r="V6" s="81" t="s">
        <v>72</v>
      </c>
      <c r="W6" s="92">
        <f>'Raw Score Check'!N5</f>
        <v>0</v>
      </c>
      <c r="X6" s="154">
        <v>0</v>
      </c>
      <c r="Y6" s="154">
        <v>0</v>
      </c>
      <c r="AA6" s="77">
        <v>2</v>
      </c>
      <c r="AB6" s="81" t="s">
        <v>96</v>
      </c>
      <c r="AC6" s="81" t="s">
        <v>100</v>
      </c>
      <c r="AD6" s="93">
        <f>'Raw Score Check'!Q5</f>
        <v>0</v>
      </c>
      <c r="AE6" s="155">
        <v>0</v>
      </c>
      <c r="AF6" s="155">
        <v>0</v>
      </c>
    </row>
    <row r="7" spans="1:32" ht="60">
      <c r="B7" s="73">
        <v>3</v>
      </c>
      <c r="C7" s="81" t="s">
        <v>40</v>
      </c>
      <c r="D7" s="81" t="s">
        <v>41</v>
      </c>
      <c r="E7" s="203">
        <f>'Raw Score Check'!H6</f>
        <v>0</v>
      </c>
      <c r="F7" s="204">
        <v>0</v>
      </c>
      <c r="G7" s="204">
        <v>0</v>
      </c>
      <c r="H7" s="204">
        <v>0</v>
      </c>
      <c r="I7" s="205">
        <v>0</v>
      </c>
      <c r="K7" s="77">
        <v>3</v>
      </c>
      <c r="L7" s="81" t="s">
        <v>61</v>
      </c>
      <c r="M7" s="81" t="s">
        <v>62</v>
      </c>
      <c r="N7" s="92">
        <f>'Raw Score Check'!K6</f>
        <v>0</v>
      </c>
      <c r="O7" s="134">
        <v>0</v>
      </c>
      <c r="P7" s="134">
        <v>1</v>
      </c>
      <c r="Q7" s="134">
        <v>0</v>
      </c>
      <c r="R7" s="134">
        <v>0</v>
      </c>
      <c r="T7" s="77">
        <v>3</v>
      </c>
      <c r="U7" s="81" t="s">
        <v>81</v>
      </c>
      <c r="V7" s="81" t="s">
        <v>86</v>
      </c>
      <c r="W7" s="92">
        <f>'Raw Score Check'!N6</f>
        <v>0</v>
      </c>
      <c r="X7" s="154">
        <v>0</v>
      </c>
      <c r="Y7" s="154">
        <v>0</v>
      </c>
      <c r="AA7" s="77">
        <v>3</v>
      </c>
      <c r="AB7" s="81" t="s">
        <v>96</v>
      </c>
      <c r="AC7" s="81" t="s">
        <v>104</v>
      </c>
      <c r="AD7" s="93">
        <f>'Raw Score Check'!Q6</f>
        <v>0</v>
      </c>
      <c r="AE7" s="134">
        <v>1</v>
      </c>
      <c r="AF7" s="155">
        <v>0</v>
      </c>
    </row>
    <row r="8" spans="1:32" ht="60">
      <c r="B8" s="73">
        <v>4</v>
      </c>
      <c r="C8" s="81" t="s">
        <v>40</v>
      </c>
      <c r="D8" s="81" t="s">
        <v>42</v>
      </c>
      <c r="E8" s="130">
        <f>'Raw Score Check'!H7</f>
        <v>0</v>
      </c>
      <c r="F8" s="204">
        <v>0</v>
      </c>
      <c r="G8" s="204">
        <v>1</v>
      </c>
      <c r="H8" s="201">
        <v>0</v>
      </c>
      <c r="I8" s="205">
        <v>0</v>
      </c>
      <c r="K8" s="77">
        <v>4</v>
      </c>
      <c r="L8" s="81" t="s">
        <v>65</v>
      </c>
      <c r="M8" s="81" t="s">
        <v>68</v>
      </c>
      <c r="N8" s="92">
        <f>'Raw Score Check'!K7</f>
        <v>0</v>
      </c>
      <c r="O8" s="134">
        <v>0</v>
      </c>
      <c r="P8" s="134">
        <v>0</v>
      </c>
      <c r="Q8" s="134">
        <v>0</v>
      </c>
      <c r="R8" s="134">
        <v>0</v>
      </c>
      <c r="T8" s="77">
        <v>4</v>
      </c>
      <c r="U8" s="81" t="s">
        <v>71</v>
      </c>
      <c r="V8" s="81" t="s">
        <v>74</v>
      </c>
      <c r="W8" s="92">
        <f>'Raw Score Check'!N7</f>
        <v>0</v>
      </c>
      <c r="X8" s="154">
        <v>0</v>
      </c>
      <c r="Y8" s="154">
        <v>0</v>
      </c>
      <c r="AA8" s="77">
        <v>4</v>
      </c>
      <c r="AB8" s="81" t="s">
        <v>71</v>
      </c>
      <c r="AC8" s="81" t="s">
        <v>73</v>
      </c>
      <c r="AD8" s="93">
        <f>'Raw Score Check'!Q7</f>
        <v>0</v>
      </c>
      <c r="AE8" s="155">
        <v>0</v>
      </c>
      <c r="AF8" s="155">
        <v>0</v>
      </c>
    </row>
    <row r="9" spans="1:32" ht="60">
      <c r="B9" s="73">
        <v>5</v>
      </c>
      <c r="C9" s="81" t="s">
        <v>52</v>
      </c>
      <c r="D9" s="81" t="s">
        <v>56</v>
      </c>
      <c r="E9" s="203">
        <f>'Raw Score Check'!H8</f>
        <v>0</v>
      </c>
      <c r="F9" s="204">
        <v>0</v>
      </c>
      <c r="G9" s="204">
        <v>0</v>
      </c>
      <c r="H9" s="204">
        <v>0</v>
      </c>
      <c r="I9" s="202">
        <v>0</v>
      </c>
      <c r="K9" s="77">
        <v>5</v>
      </c>
      <c r="L9" s="81" t="s">
        <v>65</v>
      </c>
      <c r="M9" s="81" t="s">
        <v>67</v>
      </c>
      <c r="N9" s="92">
        <f>'Raw Score Check'!K8</f>
        <v>0</v>
      </c>
      <c r="O9" s="134">
        <v>0</v>
      </c>
      <c r="P9" s="134">
        <v>0</v>
      </c>
      <c r="Q9" s="134">
        <v>0</v>
      </c>
      <c r="R9" s="134">
        <v>0</v>
      </c>
      <c r="T9" s="77">
        <v>5</v>
      </c>
      <c r="U9" s="81" t="s">
        <v>81</v>
      </c>
      <c r="V9" s="81" t="s">
        <v>93</v>
      </c>
      <c r="W9" s="92">
        <f>'Raw Score Check'!N8</f>
        <v>0</v>
      </c>
      <c r="X9" s="154">
        <v>0</v>
      </c>
      <c r="Y9" s="154">
        <v>0</v>
      </c>
      <c r="AA9" s="77">
        <v>5</v>
      </c>
      <c r="AB9" s="81" t="s">
        <v>96</v>
      </c>
      <c r="AC9" s="81" t="s">
        <v>98</v>
      </c>
      <c r="AD9" s="93">
        <f>'Raw Score Check'!Q8</f>
        <v>0</v>
      </c>
      <c r="AE9" s="155">
        <v>0</v>
      </c>
      <c r="AF9" s="155">
        <v>0</v>
      </c>
    </row>
    <row r="10" spans="1:32" ht="90">
      <c r="B10" s="73">
        <v>6</v>
      </c>
      <c r="C10" s="81" t="s">
        <v>40</v>
      </c>
      <c r="D10" s="81" t="s">
        <v>46</v>
      </c>
      <c r="E10" s="130">
        <f>'Raw Score Check'!H9</f>
        <v>0</v>
      </c>
      <c r="F10" s="204">
        <v>1</v>
      </c>
      <c r="G10" s="204">
        <v>0</v>
      </c>
      <c r="H10" s="201">
        <v>0</v>
      </c>
      <c r="I10" s="205">
        <v>0</v>
      </c>
      <c r="K10" s="77">
        <v>6</v>
      </c>
      <c r="L10" s="81" t="s">
        <v>61</v>
      </c>
      <c r="M10" s="81" t="s">
        <v>62</v>
      </c>
      <c r="N10" s="92">
        <f>'Raw Score Check'!K9</f>
        <v>0</v>
      </c>
      <c r="O10" s="134">
        <v>0</v>
      </c>
      <c r="P10" s="134">
        <v>1</v>
      </c>
      <c r="Q10" s="134">
        <v>0</v>
      </c>
      <c r="R10" s="134">
        <v>0</v>
      </c>
      <c r="T10" s="77">
        <v>6</v>
      </c>
      <c r="U10" s="81" t="s">
        <v>71</v>
      </c>
      <c r="V10" s="81" t="s">
        <v>79</v>
      </c>
      <c r="W10" s="92">
        <f>'Raw Score Check'!N9</f>
        <v>0</v>
      </c>
      <c r="X10" s="154">
        <v>0</v>
      </c>
      <c r="Y10" s="154">
        <v>0</v>
      </c>
      <c r="AA10" s="77">
        <v>6</v>
      </c>
      <c r="AB10" s="81" t="s">
        <v>81</v>
      </c>
      <c r="AC10" s="81" t="s">
        <v>92</v>
      </c>
      <c r="AD10" s="93">
        <f>'Raw Score Check'!Q9</f>
        <v>0</v>
      </c>
      <c r="AE10" s="155">
        <v>0</v>
      </c>
      <c r="AF10" s="155">
        <v>0</v>
      </c>
    </row>
    <row r="11" spans="1:32" ht="45">
      <c r="B11" s="73">
        <v>7</v>
      </c>
      <c r="C11" s="81" t="s">
        <v>40</v>
      </c>
      <c r="D11" s="81" t="s">
        <v>41</v>
      </c>
      <c r="E11" s="203">
        <f>'Raw Score Check'!H10</f>
        <v>0</v>
      </c>
      <c r="F11" s="204">
        <v>0</v>
      </c>
      <c r="G11" s="204">
        <v>0</v>
      </c>
      <c r="H11" s="204">
        <v>0</v>
      </c>
      <c r="I11" s="205">
        <v>0</v>
      </c>
      <c r="K11" s="77">
        <v>7</v>
      </c>
      <c r="L11" s="81" t="s">
        <v>61</v>
      </c>
      <c r="M11" s="81" t="s">
        <v>64</v>
      </c>
      <c r="N11" s="92">
        <f>'Raw Score Check'!K10</f>
        <v>0</v>
      </c>
      <c r="O11" s="134">
        <v>1</v>
      </c>
      <c r="P11" s="134">
        <v>0</v>
      </c>
      <c r="Q11" s="134">
        <v>0</v>
      </c>
      <c r="R11" s="134">
        <v>0</v>
      </c>
      <c r="T11" s="77">
        <v>7</v>
      </c>
      <c r="U11" s="81" t="s">
        <v>81</v>
      </c>
      <c r="V11" s="81" t="s">
        <v>95</v>
      </c>
      <c r="W11" s="92">
        <f>'Raw Score Check'!N10</f>
        <v>0</v>
      </c>
      <c r="X11" s="154">
        <v>0</v>
      </c>
      <c r="Y11" s="154">
        <v>0</v>
      </c>
      <c r="AA11" s="77">
        <v>7</v>
      </c>
      <c r="AB11" s="81" t="s">
        <v>71</v>
      </c>
      <c r="AC11" s="81" t="s">
        <v>72</v>
      </c>
      <c r="AD11" s="93">
        <f>'Raw Score Check'!Q10</f>
        <v>0</v>
      </c>
      <c r="AE11" s="155">
        <v>0</v>
      </c>
      <c r="AF11" s="155">
        <v>0</v>
      </c>
    </row>
    <row r="12" spans="1:32" ht="45">
      <c r="B12" s="73">
        <v>8</v>
      </c>
      <c r="C12" s="81" t="s">
        <v>40</v>
      </c>
      <c r="D12" s="81" t="s">
        <v>41</v>
      </c>
      <c r="E12" s="130">
        <f>'Raw Score Check'!H11</f>
        <v>0</v>
      </c>
      <c r="F12" s="204">
        <v>0</v>
      </c>
      <c r="G12" s="204">
        <v>0</v>
      </c>
      <c r="H12" s="201">
        <v>0</v>
      </c>
      <c r="I12" s="202">
        <v>0</v>
      </c>
      <c r="K12" s="77">
        <v>8</v>
      </c>
      <c r="L12" s="81" t="s">
        <v>61</v>
      </c>
      <c r="M12" s="81" t="s">
        <v>64</v>
      </c>
      <c r="N12" s="92">
        <f>'Raw Score Check'!K11</f>
        <v>0</v>
      </c>
      <c r="O12" s="134">
        <v>1</v>
      </c>
      <c r="P12" s="134">
        <v>0</v>
      </c>
      <c r="Q12" s="134">
        <v>0</v>
      </c>
      <c r="R12" s="134">
        <v>0</v>
      </c>
      <c r="T12" s="77">
        <v>8</v>
      </c>
      <c r="U12" s="81" t="s">
        <v>71</v>
      </c>
      <c r="V12" s="81" t="s">
        <v>76</v>
      </c>
      <c r="W12" s="92">
        <f>'Raw Score Check'!N11</f>
        <v>0</v>
      </c>
      <c r="X12" s="154">
        <v>0</v>
      </c>
      <c r="Y12" s="204">
        <v>0</v>
      </c>
      <c r="AA12" s="77">
        <v>8</v>
      </c>
      <c r="AB12" s="81" t="s">
        <v>71</v>
      </c>
      <c r="AC12" s="81" t="s">
        <v>74</v>
      </c>
      <c r="AD12" s="93">
        <f>'Raw Score Check'!Q11</f>
        <v>0</v>
      </c>
      <c r="AE12" s="134">
        <v>1</v>
      </c>
      <c r="AF12" s="155">
        <v>0</v>
      </c>
    </row>
    <row r="13" spans="1:32" ht="60">
      <c r="B13" s="73">
        <v>9</v>
      </c>
      <c r="C13" s="81" t="s">
        <v>40</v>
      </c>
      <c r="D13" s="81" t="s">
        <v>41</v>
      </c>
      <c r="E13" s="203">
        <f>'Raw Score Check'!H12</f>
        <v>0</v>
      </c>
      <c r="F13" s="204">
        <v>0</v>
      </c>
      <c r="G13" s="204">
        <v>0</v>
      </c>
      <c r="H13" s="204">
        <v>0</v>
      </c>
      <c r="I13" s="205">
        <v>0</v>
      </c>
      <c r="K13" s="77">
        <v>9</v>
      </c>
      <c r="L13" s="81" t="s">
        <v>61</v>
      </c>
      <c r="M13" s="81" t="s">
        <v>64</v>
      </c>
      <c r="N13" s="92">
        <f>'Raw Score Check'!K12</f>
        <v>0</v>
      </c>
      <c r="O13" s="134">
        <v>0</v>
      </c>
      <c r="P13" s="134">
        <v>0</v>
      </c>
      <c r="Q13" s="134">
        <v>0</v>
      </c>
      <c r="R13" s="134">
        <v>0</v>
      </c>
      <c r="T13" s="77">
        <v>9</v>
      </c>
      <c r="U13" s="81" t="s">
        <v>71</v>
      </c>
      <c r="V13" s="81" t="s">
        <v>79</v>
      </c>
      <c r="W13" s="92">
        <f>'Raw Score Check'!N12</f>
        <v>0</v>
      </c>
      <c r="X13" s="154">
        <v>0</v>
      </c>
      <c r="Y13" s="154">
        <v>0</v>
      </c>
      <c r="AA13" s="77">
        <v>9</v>
      </c>
      <c r="AB13" s="81" t="s">
        <v>96</v>
      </c>
      <c r="AC13" s="81" t="s">
        <v>97</v>
      </c>
      <c r="AD13" s="93">
        <f>'Raw Score Check'!Q12</f>
        <v>0</v>
      </c>
      <c r="AE13" s="155">
        <v>0</v>
      </c>
      <c r="AF13" s="134">
        <v>1</v>
      </c>
    </row>
    <row r="14" spans="1:32" ht="60">
      <c r="B14" s="73">
        <v>10</v>
      </c>
      <c r="C14" s="81" t="s">
        <v>40</v>
      </c>
      <c r="D14" s="81" t="s">
        <v>42</v>
      </c>
      <c r="E14" s="130">
        <f>'Raw Score Check'!H13</f>
        <v>0</v>
      </c>
      <c r="F14" s="204">
        <v>0</v>
      </c>
      <c r="G14" s="204">
        <v>1</v>
      </c>
      <c r="H14" s="204">
        <v>0</v>
      </c>
      <c r="I14" s="205">
        <v>0</v>
      </c>
      <c r="K14" s="77">
        <v>10</v>
      </c>
      <c r="L14" s="81" t="s">
        <v>65</v>
      </c>
      <c r="M14" s="81" t="s">
        <v>66</v>
      </c>
      <c r="N14" s="92">
        <f>'Raw Score Check'!K13</f>
        <v>0</v>
      </c>
      <c r="O14" s="134">
        <v>0</v>
      </c>
      <c r="P14" s="134">
        <v>0</v>
      </c>
      <c r="Q14" s="134">
        <v>0</v>
      </c>
      <c r="R14" s="134">
        <v>0</v>
      </c>
      <c r="T14" s="77">
        <v>10</v>
      </c>
      <c r="U14" s="81" t="s">
        <v>81</v>
      </c>
      <c r="V14" s="81" t="s">
        <v>92</v>
      </c>
      <c r="W14" s="92">
        <f>'Raw Score Check'!N13</f>
        <v>0</v>
      </c>
      <c r="X14" s="154">
        <v>0</v>
      </c>
      <c r="Y14" s="154">
        <v>0</v>
      </c>
      <c r="AA14" s="77">
        <v>10</v>
      </c>
      <c r="AB14" s="81" t="s">
        <v>96</v>
      </c>
      <c r="AC14" s="81" t="s">
        <v>99</v>
      </c>
      <c r="AD14" s="93">
        <f>'Raw Score Check'!Q13</f>
        <v>0</v>
      </c>
      <c r="AE14" s="155">
        <v>0</v>
      </c>
      <c r="AF14" s="134">
        <v>1</v>
      </c>
    </row>
    <row r="15" spans="1:32" ht="60">
      <c r="B15" s="73">
        <v>11</v>
      </c>
      <c r="C15" s="81" t="s">
        <v>52</v>
      </c>
      <c r="D15" s="81" t="s">
        <v>54</v>
      </c>
      <c r="E15" s="203">
        <f>'Raw Score Check'!H14</f>
        <v>0</v>
      </c>
      <c r="F15" s="204">
        <v>0</v>
      </c>
      <c r="G15" s="204">
        <v>0</v>
      </c>
      <c r="H15" s="204">
        <v>1</v>
      </c>
      <c r="I15" s="202">
        <v>0</v>
      </c>
      <c r="K15" s="77">
        <v>11</v>
      </c>
      <c r="L15" s="81" t="s">
        <v>65</v>
      </c>
      <c r="M15" s="81" t="s">
        <v>67</v>
      </c>
      <c r="N15" s="92">
        <f>'Raw Score Check'!K14</f>
        <v>0</v>
      </c>
      <c r="O15" s="134">
        <v>0</v>
      </c>
      <c r="P15" s="134">
        <v>0</v>
      </c>
      <c r="Q15" s="134">
        <v>0</v>
      </c>
      <c r="R15" s="134">
        <v>0</v>
      </c>
      <c r="T15" s="77">
        <v>11</v>
      </c>
      <c r="U15" s="81" t="s">
        <v>107</v>
      </c>
      <c r="V15" s="81" t="s">
        <v>110</v>
      </c>
      <c r="W15" s="92">
        <f>'Raw Score Check'!N14</f>
        <v>0</v>
      </c>
      <c r="X15" s="154">
        <v>0</v>
      </c>
      <c r="Y15" s="154">
        <v>0</v>
      </c>
      <c r="AA15" s="77">
        <v>11</v>
      </c>
      <c r="AB15" s="81" t="s">
        <v>96</v>
      </c>
      <c r="AC15" s="81" t="s">
        <v>99</v>
      </c>
      <c r="AD15" s="93">
        <f>'Raw Score Check'!Q14</f>
        <v>0</v>
      </c>
      <c r="AE15" s="155">
        <v>0</v>
      </c>
      <c r="AF15" s="155">
        <v>0</v>
      </c>
    </row>
    <row r="16" spans="1:32" ht="90">
      <c r="B16" s="73">
        <v>12</v>
      </c>
      <c r="C16" s="81" t="s">
        <v>40</v>
      </c>
      <c r="D16" s="81" t="s">
        <v>41</v>
      </c>
      <c r="E16" s="130">
        <f>'Raw Score Check'!H15</f>
        <v>0</v>
      </c>
      <c r="F16" s="204">
        <v>0</v>
      </c>
      <c r="G16" s="204">
        <v>0</v>
      </c>
      <c r="H16" s="204">
        <v>1</v>
      </c>
      <c r="I16" s="205">
        <v>0</v>
      </c>
      <c r="K16" s="77">
        <v>12</v>
      </c>
      <c r="L16" s="81" t="s">
        <v>65</v>
      </c>
      <c r="M16" s="81" t="s">
        <v>66</v>
      </c>
      <c r="N16" s="92">
        <f>'Raw Score Check'!K15</f>
        <v>0</v>
      </c>
      <c r="O16" s="134">
        <v>0</v>
      </c>
      <c r="P16" s="134">
        <v>0</v>
      </c>
      <c r="Q16" s="134">
        <v>0</v>
      </c>
      <c r="R16" s="134">
        <v>0</v>
      </c>
      <c r="T16" s="77">
        <v>12</v>
      </c>
      <c r="U16" s="81" t="s">
        <v>81</v>
      </c>
      <c r="V16" s="81" t="s">
        <v>82</v>
      </c>
      <c r="W16" s="92">
        <f>'Raw Score Check'!N15</f>
        <v>0</v>
      </c>
      <c r="X16" s="154">
        <v>0</v>
      </c>
      <c r="Y16" s="154">
        <v>0</v>
      </c>
      <c r="AA16" s="77">
        <v>12</v>
      </c>
      <c r="AB16" s="81" t="s">
        <v>81</v>
      </c>
      <c r="AC16" s="81" t="s">
        <v>91</v>
      </c>
      <c r="AD16" s="93">
        <f>'Raw Score Check'!Q15</f>
        <v>0</v>
      </c>
      <c r="AE16" s="155">
        <v>0</v>
      </c>
      <c r="AF16" s="155">
        <v>0</v>
      </c>
    </row>
    <row r="17" spans="2:32" ht="90">
      <c r="B17" s="73">
        <v>13</v>
      </c>
      <c r="C17" s="81" t="s">
        <v>40</v>
      </c>
      <c r="D17" s="81" t="s">
        <v>42</v>
      </c>
      <c r="E17" s="203">
        <f>'Raw Score Check'!H16</f>
        <v>0</v>
      </c>
      <c r="F17" s="204">
        <v>0</v>
      </c>
      <c r="G17" s="204">
        <v>0</v>
      </c>
      <c r="H17" s="204">
        <v>1</v>
      </c>
      <c r="I17" s="205">
        <v>0</v>
      </c>
      <c r="K17" s="77">
        <v>13</v>
      </c>
      <c r="L17" s="81" t="s">
        <v>61</v>
      </c>
      <c r="M17" s="81" t="s">
        <v>63</v>
      </c>
      <c r="N17" s="92">
        <f>'Raw Score Check'!K16</f>
        <v>0</v>
      </c>
      <c r="O17" s="134">
        <v>0</v>
      </c>
      <c r="P17" s="134">
        <v>1</v>
      </c>
      <c r="Q17" s="204">
        <v>1</v>
      </c>
      <c r="R17" s="134">
        <v>0</v>
      </c>
      <c r="T17" s="77">
        <v>13</v>
      </c>
      <c r="U17" s="81" t="s">
        <v>81</v>
      </c>
      <c r="V17" s="81" t="s">
        <v>93</v>
      </c>
      <c r="W17" s="92">
        <f>'Raw Score Check'!N16</f>
        <v>0</v>
      </c>
      <c r="X17" s="154">
        <v>0</v>
      </c>
      <c r="Y17" s="154">
        <v>0</v>
      </c>
      <c r="AA17" s="77">
        <v>13</v>
      </c>
      <c r="AB17" s="81" t="s">
        <v>81</v>
      </c>
      <c r="AC17" s="81" t="s">
        <v>93</v>
      </c>
      <c r="AD17" s="93">
        <f>'Raw Score Check'!Q16</f>
        <v>0</v>
      </c>
      <c r="AE17" s="155">
        <v>0</v>
      </c>
      <c r="AF17" s="134">
        <v>1</v>
      </c>
    </row>
    <row r="18" spans="2:32" ht="45">
      <c r="B18" s="73">
        <v>14</v>
      </c>
      <c r="C18" s="81" t="s">
        <v>40</v>
      </c>
      <c r="D18" s="81" t="s">
        <v>43</v>
      </c>
      <c r="E18" s="130">
        <f>'Raw Score Check'!H17</f>
        <v>0</v>
      </c>
      <c r="F18" s="204">
        <v>0</v>
      </c>
      <c r="G18" s="204">
        <v>0</v>
      </c>
      <c r="H18" s="204">
        <v>1</v>
      </c>
      <c r="I18" s="202">
        <v>0</v>
      </c>
      <c r="K18" s="77">
        <v>14</v>
      </c>
      <c r="L18" s="81" t="s">
        <v>65</v>
      </c>
      <c r="M18" s="81" t="s">
        <v>68</v>
      </c>
      <c r="N18" s="92">
        <f>'Raw Score Check'!K17</f>
        <v>0</v>
      </c>
      <c r="O18" s="134">
        <v>0</v>
      </c>
      <c r="P18" s="134">
        <v>0</v>
      </c>
      <c r="Q18" s="134">
        <v>0</v>
      </c>
      <c r="R18" s="134">
        <v>0</v>
      </c>
      <c r="T18" s="77">
        <v>14</v>
      </c>
      <c r="U18" s="81" t="s">
        <v>81</v>
      </c>
      <c r="V18" s="81" t="s">
        <v>94</v>
      </c>
      <c r="W18" s="92">
        <f>'Raw Score Check'!N17</f>
        <v>0</v>
      </c>
      <c r="X18" s="154">
        <v>0</v>
      </c>
      <c r="Y18" s="154">
        <v>0</v>
      </c>
      <c r="AA18" s="77">
        <v>14</v>
      </c>
      <c r="AB18" s="81" t="s">
        <v>71</v>
      </c>
      <c r="AC18" s="81" t="s">
        <v>74</v>
      </c>
      <c r="AD18" s="93">
        <f>'Raw Score Check'!Q17</f>
        <v>0</v>
      </c>
      <c r="AE18" s="155">
        <v>0</v>
      </c>
      <c r="AF18" s="155">
        <v>0</v>
      </c>
    </row>
    <row r="19" spans="2:32" ht="60">
      <c r="B19" s="73">
        <v>15</v>
      </c>
      <c r="C19" s="81" t="s">
        <v>40</v>
      </c>
      <c r="D19" s="81" t="s">
        <v>42</v>
      </c>
      <c r="E19" s="203">
        <f>'Raw Score Check'!H18</f>
        <v>0</v>
      </c>
      <c r="F19" s="204">
        <v>0</v>
      </c>
      <c r="G19" s="204">
        <v>1</v>
      </c>
      <c r="H19" s="204">
        <v>1</v>
      </c>
      <c r="I19" s="205">
        <v>0</v>
      </c>
      <c r="K19" s="77">
        <v>15</v>
      </c>
      <c r="L19" s="81" t="s">
        <v>65</v>
      </c>
      <c r="M19" s="81" t="s">
        <v>66</v>
      </c>
      <c r="N19" s="92">
        <f>'Raw Score Check'!K18</f>
        <v>0</v>
      </c>
      <c r="O19" s="134">
        <v>0</v>
      </c>
      <c r="P19" s="134">
        <v>0</v>
      </c>
      <c r="Q19" s="134">
        <v>0</v>
      </c>
      <c r="R19" s="134">
        <v>0</v>
      </c>
      <c r="T19" s="77">
        <v>15</v>
      </c>
      <c r="U19" s="81" t="s">
        <v>71</v>
      </c>
      <c r="V19" s="81" t="s">
        <v>73</v>
      </c>
      <c r="W19" s="92">
        <f>'Raw Score Check'!N18</f>
        <v>0</v>
      </c>
      <c r="X19" s="154">
        <v>0</v>
      </c>
      <c r="Y19" s="154">
        <v>1</v>
      </c>
      <c r="AA19" s="77">
        <v>15</v>
      </c>
      <c r="AB19" s="81" t="s">
        <v>96</v>
      </c>
      <c r="AC19" s="81" t="s">
        <v>106</v>
      </c>
      <c r="AD19" s="93">
        <f>'Raw Score Check'!Q18</f>
        <v>0</v>
      </c>
      <c r="AE19" s="155">
        <v>0</v>
      </c>
      <c r="AF19" s="134">
        <v>1</v>
      </c>
    </row>
    <row r="20" spans="2:32" ht="90">
      <c r="B20" s="73">
        <v>16</v>
      </c>
      <c r="C20" s="81" t="s">
        <v>40</v>
      </c>
      <c r="D20" s="81" t="s">
        <v>46</v>
      </c>
      <c r="E20" s="130">
        <f>'Raw Score Check'!H19</f>
        <v>0</v>
      </c>
      <c r="F20" s="204">
        <v>1</v>
      </c>
      <c r="G20" s="204">
        <v>0</v>
      </c>
      <c r="H20" s="204">
        <v>1</v>
      </c>
      <c r="I20" s="205">
        <v>0</v>
      </c>
      <c r="K20" s="77">
        <v>16</v>
      </c>
      <c r="L20" s="81" t="s">
        <v>61</v>
      </c>
      <c r="M20" s="81" t="s">
        <v>64</v>
      </c>
      <c r="N20" s="92">
        <f>'Raw Score Check'!K19</f>
        <v>0</v>
      </c>
      <c r="O20" s="134">
        <v>1</v>
      </c>
      <c r="P20" s="134">
        <v>0</v>
      </c>
      <c r="Q20" s="204">
        <v>1</v>
      </c>
      <c r="R20" s="134">
        <v>0</v>
      </c>
      <c r="T20" s="77">
        <v>16</v>
      </c>
      <c r="U20" s="81" t="s">
        <v>81</v>
      </c>
      <c r="V20" s="81" t="s">
        <v>87</v>
      </c>
      <c r="W20" s="92">
        <f>'Raw Score Check'!N19</f>
        <v>0</v>
      </c>
      <c r="X20" s="154">
        <v>0</v>
      </c>
      <c r="Y20" s="154">
        <v>0</v>
      </c>
      <c r="AA20" s="77">
        <v>16</v>
      </c>
      <c r="AB20" s="81" t="s">
        <v>81</v>
      </c>
      <c r="AC20" s="81" t="s">
        <v>95</v>
      </c>
      <c r="AD20" s="93">
        <f>'Raw Score Check'!Q19</f>
        <v>0</v>
      </c>
      <c r="AE20" s="155">
        <v>0</v>
      </c>
      <c r="AF20" s="155">
        <v>0</v>
      </c>
    </row>
    <row r="21" spans="2:32" ht="90">
      <c r="B21" s="73">
        <v>17</v>
      </c>
      <c r="C21" s="81" t="s">
        <v>40</v>
      </c>
      <c r="D21" s="81" t="s">
        <v>46</v>
      </c>
      <c r="E21" s="203">
        <f>'Raw Score Check'!H20</f>
        <v>0</v>
      </c>
      <c r="F21" s="204">
        <v>1</v>
      </c>
      <c r="G21" s="204">
        <v>0</v>
      </c>
      <c r="H21" s="204">
        <v>1</v>
      </c>
      <c r="I21" s="202">
        <v>0</v>
      </c>
      <c r="K21" s="77">
        <v>17</v>
      </c>
      <c r="L21" s="81" t="s">
        <v>61</v>
      </c>
      <c r="M21" s="81" t="s">
        <v>62</v>
      </c>
      <c r="N21" s="92">
        <f>'Raw Score Check'!K20</f>
        <v>0</v>
      </c>
      <c r="O21" s="134">
        <v>0</v>
      </c>
      <c r="P21" s="134">
        <v>0</v>
      </c>
      <c r="Q21" s="204">
        <v>1</v>
      </c>
      <c r="R21" s="134">
        <v>0</v>
      </c>
      <c r="T21" s="77">
        <v>17</v>
      </c>
      <c r="U21" s="81" t="s">
        <v>71</v>
      </c>
      <c r="V21" s="81" t="s">
        <v>72</v>
      </c>
      <c r="W21" s="92">
        <f>'Raw Score Check'!N20</f>
        <v>0</v>
      </c>
      <c r="X21" s="154">
        <v>0</v>
      </c>
      <c r="Y21" s="154">
        <v>0</v>
      </c>
      <c r="AA21" s="77">
        <v>17</v>
      </c>
      <c r="AB21" s="81" t="s">
        <v>81</v>
      </c>
      <c r="AC21" s="81" t="s">
        <v>95</v>
      </c>
      <c r="AD21" s="93">
        <f>'Raw Score Check'!Q20</f>
        <v>0</v>
      </c>
      <c r="AE21" s="134">
        <v>1</v>
      </c>
      <c r="AF21" s="155">
        <v>0</v>
      </c>
    </row>
    <row r="22" spans="2:32" ht="45">
      <c r="B22" s="73">
        <v>18</v>
      </c>
      <c r="C22" s="81" t="s">
        <v>40</v>
      </c>
      <c r="D22" s="81" t="s">
        <v>42</v>
      </c>
      <c r="E22" s="130">
        <f>'Raw Score Check'!H21</f>
        <v>0</v>
      </c>
      <c r="F22" s="204">
        <v>0</v>
      </c>
      <c r="G22" s="204">
        <v>0</v>
      </c>
      <c r="H22" s="204">
        <v>1</v>
      </c>
      <c r="I22" s="205">
        <v>0</v>
      </c>
      <c r="K22" s="77">
        <v>18</v>
      </c>
      <c r="L22" s="81" t="s">
        <v>61</v>
      </c>
      <c r="M22" s="81" t="s">
        <v>64</v>
      </c>
      <c r="N22" s="92">
        <f>'Raw Score Check'!K21</f>
        <v>0</v>
      </c>
      <c r="O22" s="134">
        <v>1</v>
      </c>
      <c r="P22" s="134">
        <v>0</v>
      </c>
      <c r="Q22" s="204">
        <v>1</v>
      </c>
      <c r="R22" s="134">
        <v>0</v>
      </c>
      <c r="T22" s="77">
        <v>18</v>
      </c>
      <c r="U22" s="81" t="s">
        <v>107</v>
      </c>
      <c r="V22" s="81" t="s">
        <v>110</v>
      </c>
      <c r="W22" s="92">
        <f>'Raw Score Check'!N21</f>
        <v>0</v>
      </c>
      <c r="X22" s="154">
        <v>0</v>
      </c>
      <c r="Y22" s="154">
        <v>0</v>
      </c>
      <c r="AA22" s="77">
        <v>18</v>
      </c>
      <c r="AB22" s="81" t="s">
        <v>71</v>
      </c>
      <c r="AC22" s="81" t="s">
        <v>74</v>
      </c>
      <c r="AD22" s="93">
        <f>'Raw Score Check'!Q21</f>
        <v>0</v>
      </c>
      <c r="AE22" s="134">
        <v>1</v>
      </c>
      <c r="AF22" s="155">
        <v>0</v>
      </c>
    </row>
    <row r="23" spans="2:32" ht="60">
      <c r="B23" s="73">
        <v>19</v>
      </c>
      <c r="C23" s="81" t="s">
        <v>40</v>
      </c>
      <c r="D23" s="81" t="s">
        <v>42</v>
      </c>
      <c r="E23" s="203">
        <f>'Raw Score Check'!H22</f>
        <v>0</v>
      </c>
      <c r="F23" s="204">
        <v>0</v>
      </c>
      <c r="G23" s="204">
        <v>1</v>
      </c>
      <c r="H23" s="204">
        <v>1</v>
      </c>
      <c r="I23" s="205">
        <v>0</v>
      </c>
      <c r="K23" s="77">
        <v>19</v>
      </c>
      <c r="L23" s="81" t="s">
        <v>65</v>
      </c>
      <c r="M23" s="81" t="s">
        <v>66</v>
      </c>
      <c r="N23" s="92">
        <f>'Raw Score Check'!K22</f>
        <v>0</v>
      </c>
      <c r="O23" s="134">
        <v>0</v>
      </c>
      <c r="P23" s="134">
        <v>0</v>
      </c>
      <c r="Q23" s="134">
        <v>0</v>
      </c>
      <c r="R23" s="134">
        <v>0</v>
      </c>
      <c r="T23" s="77">
        <v>19</v>
      </c>
      <c r="U23" s="81" t="s">
        <v>71</v>
      </c>
      <c r="V23" s="81" t="s">
        <v>74</v>
      </c>
      <c r="W23" s="92">
        <f>'Raw Score Check'!N22</f>
        <v>0</v>
      </c>
      <c r="X23" s="154">
        <v>0</v>
      </c>
      <c r="Y23" s="154">
        <v>0</v>
      </c>
      <c r="AA23" s="77">
        <v>19</v>
      </c>
      <c r="AB23" s="81" t="s">
        <v>96</v>
      </c>
      <c r="AC23" s="81" t="s">
        <v>99</v>
      </c>
      <c r="AD23" s="93">
        <f>'Raw Score Check'!Q22</f>
        <v>0</v>
      </c>
      <c r="AE23" s="155">
        <v>0</v>
      </c>
      <c r="AF23" s="134">
        <v>1</v>
      </c>
    </row>
    <row r="24" spans="2:32" ht="60.75" thickBot="1">
      <c r="B24" s="73">
        <v>20</v>
      </c>
      <c r="C24" s="81" t="s">
        <v>58</v>
      </c>
      <c r="D24" s="81" t="s">
        <v>60</v>
      </c>
      <c r="E24" s="130">
        <f>'Raw Score Check'!H23</f>
        <v>0</v>
      </c>
      <c r="F24" s="204">
        <v>0</v>
      </c>
      <c r="G24" s="204">
        <v>0</v>
      </c>
      <c r="H24" s="204">
        <v>1</v>
      </c>
      <c r="I24" s="202">
        <v>0</v>
      </c>
      <c r="K24" s="77">
        <v>20</v>
      </c>
      <c r="L24" s="81" t="s">
        <v>61</v>
      </c>
      <c r="M24" s="81" t="s">
        <v>62</v>
      </c>
      <c r="N24" s="92">
        <f>'Raw Score Check'!K23</f>
        <v>0</v>
      </c>
      <c r="O24" s="134">
        <v>0</v>
      </c>
      <c r="P24" s="134">
        <v>0</v>
      </c>
      <c r="Q24" s="204">
        <v>1</v>
      </c>
      <c r="R24" s="134">
        <v>0</v>
      </c>
      <c r="T24" s="78">
        <v>20</v>
      </c>
      <c r="U24" s="81" t="s">
        <v>107</v>
      </c>
      <c r="V24" s="81" t="s">
        <v>109</v>
      </c>
      <c r="W24" s="92">
        <f>'Raw Score Check'!N23</f>
        <v>0</v>
      </c>
      <c r="X24" s="154">
        <v>0</v>
      </c>
      <c r="Y24" s="154">
        <v>0</v>
      </c>
      <c r="AA24" s="77">
        <v>20</v>
      </c>
      <c r="AB24" s="81" t="s">
        <v>96</v>
      </c>
      <c r="AC24" s="81" t="s">
        <v>101</v>
      </c>
      <c r="AD24" s="93">
        <f>'Raw Score Check'!Q23</f>
        <v>0</v>
      </c>
      <c r="AE24" s="155">
        <v>0</v>
      </c>
      <c r="AF24" s="134">
        <v>1</v>
      </c>
    </row>
    <row r="25" spans="2:32" ht="60">
      <c r="B25" s="73">
        <v>21</v>
      </c>
      <c r="C25" s="81" t="s">
        <v>52</v>
      </c>
      <c r="D25" s="81" t="s">
        <v>54</v>
      </c>
      <c r="E25" s="203">
        <f>'Raw Score Check'!H24</f>
        <v>0</v>
      </c>
      <c r="F25" s="204">
        <v>0</v>
      </c>
      <c r="G25" s="204">
        <v>0</v>
      </c>
      <c r="H25" s="204">
        <v>0</v>
      </c>
      <c r="I25" s="204">
        <v>1</v>
      </c>
      <c r="K25" s="77">
        <v>21</v>
      </c>
      <c r="L25" s="81" t="s">
        <v>65</v>
      </c>
      <c r="M25" s="81" t="s">
        <v>68</v>
      </c>
      <c r="N25" s="92">
        <f>'Raw Score Check'!K24</f>
        <v>0</v>
      </c>
      <c r="O25" s="134">
        <v>0</v>
      </c>
      <c r="P25" s="134">
        <v>0</v>
      </c>
      <c r="Q25" s="134">
        <v>0</v>
      </c>
      <c r="R25" s="134">
        <v>0</v>
      </c>
      <c r="U25" s="81"/>
      <c r="V25" s="81"/>
      <c r="W25" s="92"/>
      <c r="X25" s="81"/>
      <c r="Y25" s="81"/>
      <c r="AA25" s="77">
        <v>21</v>
      </c>
      <c r="AB25" s="81" t="s">
        <v>96</v>
      </c>
      <c r="AC25" s="81" t="s">
        <v>103</v>
      </c>
      <c r="AD25" s="93">
        <f>'Raw Score Check'!Q24</f>
        <v>0</v>
      </c>
      <c r="AE25" s="134">
        <v>1</v>
      </c>
      <c r="AF25" s="155">
        <v>0</v>
      </c>
    </row>
    <row r="26" spans="2:32" ht="60">
      <c r="B26" s="73">
        <v>22</v>
      </c>
      <c r="C26" s="81" t="s">
        <v>40</v>
      </c>
      <c r="D26" s="81" t="s">
        <v>46</v>
      </c>
      <c r="E26" s="130">
        <f>'Raw Score Check'!H25</f>
        <v>0</v>
      </c>
      <c r="F26" s="204">
        <v>1</v>
      </c>
      <c r="G26" s="204">
        <v>0</v>
      </c>
      <c r="H26" s="201">
        <v>0</v>
      </c>
      <c r="I26" s="204">
        <v>1</v>
      </c>
      <c r="K26" s="77">
        <v>22</v>
      </c>
      <c r="L26" s="81" t="s">
        <v>61</v>
      </c>
      <c r="M26" s="81" t="s">
        <v>62</v>
      </c>
      <c r="N26" s="92">
        <f>'Raw Score Check'!K25</f>
        <v>0</v>
      </c>
      <c r="O26" s="134">
        <v>0</v>
      </c>
      <c r="P26" s="134">
        <v>1</v>
      </c>
      <c r="Q26" s="204">
        <v>1</v>
      </c>
      <c r="R26" s="134">
        <v>0</v>
      </c>
      <c r="U26" s="81"/>
      <c r="V26" s="81"/>
      <c r="W26" s="92"/>
      <c r="X26" s="81"/>
      <c r="Y26" s="81"/>
      <c r="AA26" s="77">
        <v>22</v>
      </c>
      <c r="AB26" s="81" t="s">
        <v>71</v>
      </c>
      <c r="AC26" s="81" t="s">
        <v>77</v>
      </c>
      <c r="AD26" s="93">
        <f>'Raw Score Check'!Q25</f>
        <v>0</v>
      </c>
      <c r="AE26" s="155">
        <v>0</v>
      </c>
      <c r="AF26" s="155">
        <v>0</v>
      </c>
    </row>
    <row r="27" spans="2:32" ht="45">
      <c r="B27" s="73">
        <v>23</v>
      </c>
      <c r="C27" s="81" t="s">
        <v>52</v>
      </c>
      <c r="D27" s="81" t="s">
        <v>57</v>
      </c>
      <c r="E27" s="203">
        <f>'Raw Score Check'!H26</f>
        <v>0</v>
      </c>
      <c r="F27" s="204">
        <v>0</v>
      </c>
      <c r="G27" s="204">
        <v>0</v>
      </c>
      <c r="H27" s="204">
        <v>0</v>
      </c>
      <c r="I27" s="204">
        <v>1</v>
      </c>
      <c r="K27" s="77">
        <v>23</v>
      </c>
      <c r="L27" s="81" t="s">
        <v>61</v>
      </c>
      <c r="M27" s="81" t="s">
        <v>64</v>
      </c>
      <c r="N27" s="92">
        <f>'Raw Score Check'!K26</f>
        <v>0</v>
      </c>
      <c r="O27" s="134">
        <v>1</v>
      </c>
      <c r="P27" s="134">
        <v>0</v>
      </c>
      <c r="Q27" s="134">
        <v>0</v>
      </c>
      <c r="R27" s="204">
        <v>1</v>
      </c>
      <c r="U27" s="81"/>
      <c r="V27" s="81"/>
      <c r="W27" s="92"/>
      <c r="X27" s="81"/>
      <c r="Y27" s="81"/>
      <c r="AA27" s="77">
        <v>23</v>
      </c>
      <c r="AB27" s="81" t="s">
        <v>107</v>
      </c>
      <c r="AC27" s="81" t="s">
        <v>112</v>
      </c>
      <c r="AD27" s="93">
        <f>'Raw Score Check'!Q26</f>
        <v>0</v>
      </c>
      <c r="AE27" s="155">
        <v>0</v>
      </c>
      <c r="AF27" s="155">
        <v>0</v>
      </c>
    </row>
    <row r="28" spans="2:32" ht="30">
      <c r="B28" s="73">
        <v>24</v>
      </c>
      <c r="C28" s="81" t="s">
        <v>40</v>
      </c>
      <c r="D28" s="81" t="s">
        <v>42</v>
      </c>
      <c r="E28" s="130">
        <f>'Raw Score Check'!H27</f>
        <v>0</v>
      </c>
      <c r="F28" s="204">
        <v>0</v>
      </c>
      <c r="G28" s="204">
        <v>1</v>
      </c>
      <c r="H28" s="201">
        <v>0</v>
      </c>
      <c r="I28" s="204">
        <v>1</v>
      </c>
      <c r="K28" s="77">
        <v>24</v>
      </c>
      <c r="L28" s="81" t="s">
        <v>65</v>
      </c>
      <c r="M28" s="81" t="s">
        <v>67</v>
      </c>
      <c r="N28" s="92">
        <f>'Raw Score Check'!K27</f>
        <v>0</v>
      </c>
      <c r="O28" s="134">
        <v>0</v>
      </c>
      <c r="P28" s="134">
        <v>0</v>
      </c>
      <c r="Q28" s="134">
        <v>0</v>
      </c>
      <c r="R28" s="134">
        <v>0</v>
      </c>
      <c r="U28" s="81"/>
      <c r="V28" s="81"/>
      <c r="W28" s="92"/>
      <c r="X28" s="81"/>
      <c r="Y28" s="81"/>
      <c r="AA28" s="77">
        <v>24</v>
      </c>
      <c r="AB28" s="81" t="s">
        <v>71</v>
      </c>
      <c r="AC28" s="81" t="s">
        <v>74</v>
      </c>
      <c r="AD28" s="93">
        <f>'Raw Score Check'!Q27</f>
        <v>0</v>
      </c>
      <c r="AE28" s="155">
        <v>0</v>
      </c>
      <c r="AF28" s="155">
        <v>0</v>
      </c>
    </row>
    <row r="29" spans="2:32" ht="45">
      <c r="B29" s="73">
        <v>25</v>
      </c>
      <c r="C29" s="81" t="s">
        <v>52</v>
      </c>
      <c r="D29" s="81" t="s">
        <v>56</v>
      </c>
      <c r="E29" s="203">
        <f>'Raw Score Check'!H28</f>
        <v>0</v>
      </c>
      <c r="F29" s="204">
        <v>0</v>
      </c>
      <c r="G29" s="204">
        <v>0</v>
      </c>
      <c r="H29" s="204">
        <v>0</v>
      </c>
      <c r="I29" s="204">
        <v>1</v>
      </c>
      <c r="K29" s="77">
        <v>25</v>
      </c>
      <c r="L29" s="81" t="s">
        <v>61</v>
      </c>
      <c r="M29" s="81" t="s">
        <v>64</v>
      </c>
      <c r="N29" s="92">
        <f>'Raw Score Check'!K28</f>
        <v>0</v>
      </c>
      <c r="O29" s="134">
        <v>1</v>
      </c>
      <c r="P29" s="134">
        <v>0</v>
      </c>
      <c r="Q29" s="134">
        <v>0</v>
      </c>
      <c r="R29" s="204">
        <v>1</v>
      </c>
      <c r="U29" s="81"/>
      <c r="V29" s="81"/>
      <c r="W29" s="92"/>
      <c r="X29" s="81"/>
      <c r="Y29" s="81"/>
      <c r="AA29" s="77">
        <v>25</v>
      </c>
      <c r="AB29" s="81" t="s">
        <v>107</v>
      </c>
      <c r="AC29" s="81" t="s">
        <v>108</v>
      </c>
      <c r="AD29" s="93">
        <f>'Raw Score Check'!Q28</f>
        <v>0</v>
      </c>
      <c r="AE29" s="155">
        <v>0</v>
      </c>
      <c r="AF29" s="134">
        <v>1</v>
      </c>
    </row>
    <row r="30" spans="2:32" ht="30">
      <c r="B30" s="73">
        <v>26</v>
      </c>
      <c r="C30" s="81" t="s">
        <v>40</v>
      </c>
      <c r="D30" s="81" t="s">
        <v>45</v>
      </c>
      <c r="E30" s="130">
        <f>'Raw Score Check'!H29</f>
        <v>0</v>
      </c>
      <c r="F30" s="204">
        <v>0</v>
      </c>
      <c r="G30" s="204">
        <v>0</v>
      </c>
      <c r="H30" s="201">
        <v>0</v>
      </c>
      <c r="I30" s="204">
        <v>1</v>
      </c>
      <c r="K30" s="77">
        <v>26</v>
      </c>
      <c r="L30" s="81" t="s">
        <v>65</v>
      </c>
      <c r="M30" s="81" t="s">
        <v>67</v>
      </c>
      <c r="N30" s="92">
        <f>'Raw Score Check'!K29</f>
        <v>0</v>
      </c>
      <c r="O30" s="134">
        <v>0</v>
      </c>
      <c r="P30" s="134">
        <v>0</v>
      </c>
      <c r="Q30" s="134">
        <v>0</v>
      </c>
      <c r="R30" s="134">
        <v>0</v>
      </c>
      <c r="U30" s="81"/>
      <c r="V30" s="81"/>
      <c r="W30" s="92"/>
      <c r="X30" s="81"/>
      <c r="Y30" s="81"/>
      <c r="AA30" s="77">
        <v>26</v>
      </c>
      <c r="AB30" s="81" t="s">
        <v>71</v>
      </c>
      <c r="AC30" s="81" t="s">
        <v>76</v>
      </c>
      <c r="AD30" s="93">
        <f>'Raw Score Check'!Q29</f>
        <v>0</v>
      </c>
      <c r="AE30" s="155">
        <v>0</v>
      </c>
      <c r="AF30" s="155">
        <v>0</v>
      </c>
    </row>
    <row r="31" spans="2:32" ht="60">
      <c r="B31" s="73">
        <v>27</v>
      </c>
      <c r="C31" s="81" t="s">
        <v>40</v>
      </c>
      <c r="D31" s="81" t="s">
        <v>41</v>
      </c>
      <c r="E31" s="203">
        <f>'Raw Score Check'!H30</f>
        <v>0</v>
      </c>
      <c r="F31" s="204">
        <v>0</v>
      </c>
      <c r="G31" s="204">
        <v>0</v>
      </c>
      <c r="H31" s="204">
        <v>0</v>
      </c>
      <c r="I31" s="204">
        <v>1</v>
      </c>
      <c r="K31" s="77">
        <v>27</v>
      </c>
      <c r="L31" s="81" t="s">
        <v>65</v>
      </c>
      <c r="M31" s="81" t="s">
        <v>66</v>
      </c>
      <c r="N31" s="92">
        <f>'Raw Score Check'!K30</f>
        <v>0</v>
      </c>
      <c r="O31" s="134">
        <v>0</v>
      </c>
      <c r="P31" s="134">
        <v>0</v>
      </c>
      <c r="Q31" s="134">
        <v>0</v>
      </c>
      <c r="R31" s="134">
        <v>0</v>
      </c>
      <c r="U31" s="81"/>
      <c r="V31" s="81"/>
      <c r="W31" s="92"/>
      <c r="X31" s="81"/>
      <c r="Y31" s="81"/>
      <c r="AA31" s="77">
        <v>27</v>
      </c>
      <c r="AB31" s="81" t="s">
        <v>96</v>
      </c>
      <c r="AC31" s="81" t="s">
        <v>98</v>
      </c>
      <c r="AD31" s="93">
        <f>'Raw Score Check'!Q30</f>
        <v>0</v>
      </c>
      <c r="AE31" s="155">
        <v>0</v>
      </c>
      <c r="AF31" s="155">
        <v>0</v>
      </c>
    </row>
    <row r="32" spans="2:32" ht="90">
      <c r="B32" s="73">
        <v>28</v>
      </c>
      <c r="C32" s="81" t="s">
        <v>40</v>
      </c>
      <c r="D32" s="81" t="s">
        <v>46</v>
      </c>
      <c r="E32" s="130">
        <f>'Raw Score Check'!H31</f>
        <v>0</v>
      </c>
      <c r="F32" s="204">
        <v>1</v>
      </c>
      <c r="G32" s="204">
        <v>0</v>
      </c>
      <c r="H32" s="204">
        <v>0</v>
      </c>
      <c r="I32" s="204">
        <v>1</v>
      </c>
      <c r="K32" s="77">
        <v>28</v>
      </c>
      <c r="L32" s="81" t="s">
        <v>65</v>
      </c>
      <c r="M32" s="81" t="s">
        <v>67</v>
      </c>
      <c r="N32" s="92">
        <f>'Raw Score Check'!K31</f>
        <v>0</v>
      </c>
      <c r="O32" s="134">
        <v>0</v>
      </c>
      <c r="P32" s="134">
        <v>0</v>
      </c>
      <c r="Q32" s="134">
        <v>0</v>
      </c>
      <c r="R32" s="134">
        <v>0</v>
      </c>
      <c r="U32" s="81"/>
      <c r="V32" s="81"/>
      <c r="W32" s="92"/>
      <c r="X32" s="81"/>
      <c r="Y32" s="81"/>
      <c r="AA32" s="77">
        <v>28</v>
      </c>
      <c r="AB32" s="81" t="s">
        <v>81</v>
      </c>
      <c r="AC32" s="81" t="s">
        <v>84</v>
      </c>
      <c r="AD32" s="93">
        <f>'Raw Score Check'!Q31</f>
        <v>0</v>
      </c>
      <c r="AE32" s="134">
        <v>1</v>
      </c>
      <c r="AF32" s="155">
        <v>0</v>
      </c>
    </row>
    <row r="33" spans="2:32" ht="60">
      <c r="B33" s="73">
        <v>29</v>
      </c>
      <c r="C33" s="81" t="s">
        <v>40</v>
      </c>
      <c r="D33" s="81" t="s">
        <v>41</v>
      </c>
      <c r="E33" s="203">
        <f>'Raw Score Check'!H32</f>
        <v>0</v>
      </c>
      <c r="F33" s="204">
        <v>0</v>
      </c>
      <c r="G33" s="204">
        <v>0</v>
      </c>
      <c r="H33" s="201">
        <v>0</v>
      </c>
      <c r="I33" s="204">
        <v>1</v>
      </c>
      <c r="K33" s="77">
        <v>29</v>
      </c>
      <c r="L33" s="81" t="s">
        <v>65</v>
      </c>
      <c r="M33" s="81" t="s">
        <v>68</v>
      </c>
      <c r="N33" s="92">
        <f>'Raw Score Check'!K32</f>
        <v>0</v>
      </c>
      <c r="O33" s="134">
        <v>0</v>
      </c>
      <c r="P33" s="134">
        <v>0</v>
      </c>
      <c r="Q33" s="134">
        <v>0</v>
      </c>
      <c r="R33" s="134">
        <v>0</v>
      </c>
      <c r="U33" s="81"/>
      <c r="V33" s="81"/>
      <c r="W33" s="92"/>
      <c r="X33" s="81"/>
      <c r="Y33" s="81"/>
      <c r="AA33" s="77">
        <v>29</v>
      </c>
      <c r="AB33" s="81" t="s">
        <v>96</v>
      </c>
      <c r="AC33" s="81" t="s">
        <v>100</v>
      </c>
      <c r="AD33" s="93">
        <f>'Raw Score Check'!Q32</f>
        <v>0</v>
      </c>
      <c r="AE33" s="155">
        <v>0</v>
      </c>
      <c r="AF33" s="155">
        <v>0</v>
      </c>
    </row>
    <row r="34" spans="2:32" ht="45">
      <c r="B34" s="73">
        <v>30</v>
      </c>
      <c r="C34" s="81" t="s">
        <v>40</v>
      </c>
      <c r="D34" s="81" t="s">
        <v>42</v>
      </c>
      <c r="E34" s="130">
        <f>'Raw Score Check'!H33</f>
        <v>0</v>
      </c>
      <c r="F34" s="204">
        <v>0</v>
      </c>
      <c r="G34" s="204">
        <v>1</v>
      </c>
      <c r="H34" s="204">
        <v>0</v>
      </c>
      <c r="I34" s="204">
        <v>1</v>
      </c>
      <c r="K34" s="77">
        <v>30</v>
      </c>
      <c r="L34" s="81" t="s">
        <v>61</v>
      </c>
      <c r="M34" s="81" t="s">
        <v>63</v>
      </c>
      <c r="N34" s="92">
        <f>'Raw Score Check'!K33</f>
        <v>0</v>
      </c>
      <c r="O34" s="134">
        <v>0</v>
      </c>
      <c r="P34" s="134">
        <v>0</v>
      </c>
      <c r="Q34" s="134">
        <v>0</v>
      </c>
      <c r="R34" s="204">
        <v>1</v>
      </c>
      <c r="U34" s="81"/>
      <c r="V34" s="81"/>
      <c r="W34" s="92"/>
      <c r="X34" s="81"/>
      <c r="Y34" s="81"/>
      <c r="AA34" s="77">
        <v>30</v>
      </c>
      <c r="AB34" s="81" t="s">
        <v>71</v>
      </c>
      <c r="AC34" s="81" t="s">
        <v>80</v>
      </c>
      <c r="AD34" s="93">
        <f>'Raw Score Check'!Q33</f>
        <v>0</v>
      </c>
      <c r="AE34" s="155">
        <v>0</v>
      </c>
      <c r="AF34" s="155">
        <v>0</v>
      </c>
    </row>
    <row r="35" spans="2:32" ht="60">
      <c r="B35" s="73">
        <v>31</v>
      </c>
      <c r="C35" s="81" t="s">
        <v>40</v>
      </c>
      <c r="D35" s="81" t="s">
        <v>46</v>
      </c>
      <c r="E35" s="203">
        <f>'Raw Score Check'!H34</f>
        <v>0</v>
      </c>
      <c r="F35" s="204">
        <v>1</v>
      </c>
      <c r="G35" s="204">
        <v>0</v>
      </c>
      <c r="H35" s="204">
        <v>1</v>
      </c>
      <c r="I35" s="205">
        <v>0</v>
      </c>
      <c r="K35" s="77">
        <v>31</v>
      </c>
      <c r="L35" s="81" t="s">
        <v>61</v>
      </c>
      <c r="M35" s="81" t="s">
        <v>62</v>
      </c>
      <c r="N35" s="92">
        <f>'Raw Score Check'!K34</f>
        <v>0</v>
      </c>
      <c r="O35" s="134">
        <v>0</v>
      </c>
      <c r="P35" s="134">
        <v>1</v>
      </c>
      <c r="Q35" s="134">
        <v>0</v>
      </c>
      <c r="R35" s="204">
        <v>1</v>
      </c>
      <c r="U35" s="81"/>
      <c r="V35" s="81"/>
      <c r="W35" s="92"/>
      <c r="X35" s="81"/>
      <c r="Y35" s="81"/>
      <c r="AA35" s="77">
        <v>31</v>
      </c>
      <c r="AB35" s="81" t="s">
        <v>71</v>
      </c>
      <c r="AC35" s="81" t="s">
        <v>75</v>
      </c>
      <c r="AD35" s="93">
        <f>'Raw Score Check'!Q34</f>
        <v>0</v>
      </c>
      <c r="AE35" s="155">
        <v>0</v>
      </c>
      <c r="AF35" s="155">
        <v>0</v>
      </c>
    </row>
    <row r="36" spans="2:32" ht="60">
      <c r="B36" s="73">
        <v>32</v>
      </c>
      <c r="C36" s="81" t="s">
        <v>40</v>
      </c>
      <c r="D36" s="81" t="s">
        <v>41</v>
      </c>
      <c r="E36" s="130">
        <f>'Raw Score Check'!H35</f>
        <v>0</v>
      </c>
      <c r="F36" s="204">
        <v>0</v>
      </c>
      <c r="G36" s="204">
        <v>0</v>
      </c>
      <c r="H36" s="204">
        <v>1</v>
      </c>
      <c r="I36" s="202">
        <v>0</v>
      </c>
      <c r="K36" s="77">
        <v>32</v>
      </c>
      <c r="L36" s="81" t="s">
        <v>61</v>
      </c>
      <c r="M36" s="81" t="s">
        <v>62</v>
      </c>
      <c r="N36" s="92">
        <f>'Raw Score Check'!K35</f>
        <v>0</v>
      </c>
      <c r="O36" s="134">
        <v>0</v>
      </c>
      <c r="P36" s="134">
        <v>1</v>
      </c>
      <c r="Q36" s="134">
        <v>0</v>
      </c>
      <c r="R36" s="204">
        <v>1</v>
      </c>
      <c r="U36" s="81"/>
      <c r="V36" s="81"/>
      <c r="W36" s="92"/>
      <c r="X36" s="81"/>
      <c r="Y36" s="81"/>
      <c r="AA36" s="77">
        <v>32</v>
      </c>
      <c r="AB36" s="81" t="s">
        <v>96</v>
      </c>
      <c r="AC36" s="81" t="s">
        <v>100</v>
      </c>
      <c r="AD36" s="93">
        <f>'Raw Score Check'!Q35</f>
        <v>0</v>
      </c>
      <c r="AE36" s="134">
        <v>1</v>
      </c>
      <c r="AF36" s="155">
        <v>0</v>
      </c>
    </row>
    <row r="37" spans="2:32" ht="90">
      <c r="B37" s="73">
        <v>33</v>
      </c>
      <c r="C37" s="81" t="s">
        <v>40</v>
      </c>
      <c r="D37" s="81" t="s">
        <v>42</v>
      </c>
      <c r="E37" s="203">
        <f>'Raw Score Check'!H36</f>
        <v>0</v>
      </c>
      <c r="F37" s="204">
        <v>0</v>
      </c>
      <c r="G37" s="204">
        <v>0</v>
      </c>
      <c r="H37" s="204">
        <v>1</v>
      </c>
      <c r="I37" s="205">
        <v>0</v>
      </c>
      <c r="K37" s="77">
        <v>33</v>
      </c>
      <c r="L37" s="81" t="s">
        <v>61</v>
      </c>
      <c r="M37" s="81" t="s">
        <v>62</v>
      </c>
      <c r="N37" s="92">
        <f>'Raw Score Check'!K36</f>
        <v>0</v>
      </c>
      <c r="O37" s="134">
        <v>0</v>
      </c>
      <c r="P37" s="134">
        <v>0</v>
      </c>
      <c r="Q37" s="134">
        <v>0</v>
      </c>
      <c r="R37" s="204">
        <v>1</v>
      </c>
      <c r="U37" s="81"/>
      <c r="V37" s="81"/>
      <c r="W37" s="92"/>
      <c r="X37" s="81"/>
      <c r="Y37" s="81"/>
      <c r="AA37" s="77">
        <v>33</v>
      </c>
      <c r="AB37" s="81" t="s">
        <v>81</v>
      </c>
      <c r="AC37" s="81" t="s">
        <v>89</v>
      </c>
      <c r="AD37" s="93">
        <f>'Raw Score Check'!Q36</f>
        <v>0</v>
      </c>
      <c r="AE37" s="155">
        <v>0</v>
      </c>
      <c r="AF37" s="155">
        <v>0</v>
      </c>
    </row>
    <row r="38" spans="2:32" ht="45">
      <c r="B38" s="73">
        <v>34</v>
      </c>
      <c r="C38" s="81" t="s">
        <v>52</v>
      </c>
      <c r="D38" s="81" t="s">
        <v>57</v>
      </c>
      <c r="E38" s="130">
        <f>'Raw Score Check'!H37</f>
        <v>0</v>
      </c>
      <c r="F38" s="204">
        <v>0</v>
      </c>
      <c r="G38" s="204">
        <v>0</v>
      </c>
      <c r="H38" s="204">
        <v>1</v>
      </c>
      <c r="I38" s="205">
        <v>0</v>
      </c>
      <c r="K38" s="77">
        <v>34</v>
      </c>
      <c r="L38" s="81" t="s">
        <v>65</v>
      </c>
      <c r="M38" s="81" t="s">
        <v>68</v>
      </c>
      <c r="N38" s="92">
        <f>'Raw Score Check'!K37</f>
        <v>0</v>
      </c>
      <c r="O38" s="134">
        <v>0</v>
      </c>
      <c r="P38" s="134">
        <v>0</v>
      </c>
      <c r="Q38" s="134">
        <v>0</v>
      </c>
      <c r="R38" s="134">
        <v>0</v>
      </c>
      <c r="U38" s="81"/>
      <c r="V38" s="81"/>
      <c r="W38" s="92"/>
      <c r="X38" s="81"/>
      <c r="Y38" s="81"/>
      <c r="AA38" s="77">
        <v>34</v>
      </c>
      <c r="AB38" s="81" t="s">
        <v>107</v>
      </c>
      <c r="AC38" s="81" t="s">
        <v>113</v>
      </c>
      <c r="AD38" s="93">
        <f>'Raw Score Check'!Q37</f>
        <v>0</v>
      </c>
      <c r="AE38" s="155">
        <v>0</v>
      </c>
      <c r="AF38" s="155">
        <v>0</v>
      </c>
    </row>
    <row r="39" spans="2:32" ht="60">
      <c r="B39" s="73">
        <v>35</v>
      </c>
      <c r="C39" s="81" t="s">
        <v>40</v>
      </c>
      <c r="D39" s="81" t="s">
        <v>46</v>
      </c>
      <c r="E39" s="203">
        <f>'Raw Score Check'!H38</f>
        <v>0</v>
      </c>
      <c r="F39" s="204">
        <v>1</v>
      </c>
      <c r="G39" s="204">
        <v>0</v>
      </c>
      <c r="H39" s="204">
        <v>1</v>
      </c>
      <c r="I39" s="202">
        <v>0</v>
      </c>
      <c r="K39" s="77">
        <v>35</v>
      </c>
      <c r="L39" s="81" t="s">
        <v>65</v>
      </c>
      <c r="M39" s="81" t="s">
        <v>68</v>
      </c>
      <c r="N39" s="92">
        <f>'Raw Score Check'!K38</f>
        <v>0</v>
      </c>
      <c r="O39" s="134">
        <v>0</v>
      </c>
      <c r="P39" s="134">
        <v>0</v>
      </c>
      <c r="Q39" s="134">
        <v>0</v>
      </c>
      <c r="R39" s="134">
        <v>0</v>
      </c>
      <c r="U39" s="81"/>
      <c r="V39" s="81"/>
      <c r="W39" s="92"/>
      <c r="X39" s="81"/>
      <c r="Y39" s="81"/>
      <c r="AA39" s="77">
        <v>35</v>
      </c>
      <c r="AB39" s="81" t="s">
        <v>96</v>
      </c>
      <c r="AC39" s="81" t="s">
        <v>105</v>
      </c>
      <c r="AD39" s="93">
        <f>'Raw Score Check'!Q38</f>
        <v>0</v>
      </c>
      <c r="AE39" s="155">
        <v>0</v>
      </c>
      <c r="AF39" s="155">
        <v>0</v>
      </c>
    </row>
    <row r="40" spans="2:32" ht="45">
      <c r="B40" s="73">
        <v>36</v>
      </c>
      <c r="C40" s="81" t="s">
        <v>40</v>
      </c>
      <c r="D40" s="81" t="s">
        <v>41</v>
      </c>
      <c r="E40" s="130">
        <f>'Raw Score Check'!H39</f>
        <v>0</v>
      </c>
      <c r="F40" s="204">
        <v>0</v>
      </c>
      <c r="G40" s="204">
        <v>0</v>
      </c>
      <c r="H40" s="204">
        <v>1</v>
      </c>
      <c r="I40" s="205">
        <v>0</v>
      </c>
      <c r="K40" s="77">
        <v>36</v>
      </c>
      <c r="L40" s="81" t="s">
        <v>65</v>
      </c>
      <c r="M40" s="81" t="s">
        <v>66</v>
      </c>
      <c r="N40" s="92">
        <f>'Raw Score Check'!K39</f>
        <v>0</v>
      </c>
      <c r="O40" s="134">
        <v>0</v>
      </c>
      <c r="P40" s="134">
        <v>0</v>
      </c>
      <c r="Q40" s="134">
        <v>0</v>
      </c>
      <c r="R40" s="134">
        <v>0</v>
      </c>
      <c r="U40" s="81"/>
      <c r="V40" s="81"/>
      <c r="W40" s="92"/>
      <c r="X40" s="81"/>
      <c r="Y40" s="81"/>
      <c r="AA40" s="77">
        <v>36</v>
      </c>
      <c r="AB40" s="81" t="s">
        <v>71</v>
      </c>
      <c r="AC40" s="81" t="s">
        <v>78</v>
      </c>
      <c r="AD40" s="93">
        <f>'Raw Score Check'!Q39</f>
        <v>0</v>
      </c>
      <c r="AE40" s="155">
        <v>0</v>
      </c>
      <c r="AF40" s="155">
        <v>0</v>
      </c>
    </row>
    <row r="41" spans="2:32" ht="60">
      <c r="B41" s="73">
        <v>37</v>
      </c>
      <c r="C41" s="81" t="s">
        <v>40</v>
      </c>
      <c r="D41" s="81" t="s">
        <v>42</v>
      </c>
      <c r="E41" s="203">
        <f>'Raw Score Check'!H40</f>
        <v>0</v>
      </c>
      <c r="F41" s="204">
        <v>0</v>
      </c>
      <c r="G41" s="204">
        <v>1</v>
      </c>
      <c r="H41" s="204">
        <v>1</v>
      </c>
      <c r="I41" s="205">
        <v>0</v>
      </c>
      <c r="K41" s="77">
        <v>37</v>
      </c>
      <c r="L41" s="81" t="s">
        <v>61</v>
      </c>
      <c r="M41" s="81" t="s">
        <v>62</v>
      </c>
      <c r="N41" s="92">
        <f>'Raw Score Check'!K40</f>
        <v>0</v>
      </c>
      <c r="O41" s="134">
        <v>0</v>
      </c>
      <c r="P41" s="134">
        <v>0</v>
      </c>
      <c r="Q41" s="134">
        <v>0</v>
      </c>
      <c r="R41" s="134">
        <v>0</v>
      </c>
      <c r="U41" s="81"/>
      <c r="V41" s="81"/>
      <c r="W41" s="92"/>
      <c r="X41" s="81"/>
      <c r="Y41" s="81"/>
      <c r="AA41" s="77">
        <v>37</v>
      </c>
      <c r="AB41" s="81" t="s">
        <v>96</v>
      </c>
      <c r="AC41" s="81" t="s">
        <v>97</v>
      </c>
      <c r="AD41" s="93">
        <f>'Raw Score Check'!Q40</f>
        <v>0</v>
      </c>
      <c r="AE41" s="134">
        <v>1</v>
      </c>
      <c r="AF41" s="155">
        <v>0</v>
      </c>
    </row>
    <row r="42" spans="2:32" ht="60.75" thickBot="1">
      <c r="B42" s="73">
        <v>38</v>
      </c>
      <c r="C42" s="81" t="s">
        <v>52</v>
      </c>
      <c r="D42" s="81" t="s">
        <v>57</v>
      </c>
      <c r="E42" s="130">
        <f>'Raw Score Check'!H41</f>
        <v>0</v>
      </c>
      <c r="F42" s="204">
        <v>0</v>
      </c>
      <c r="G42" s="204">
        <v>0</v>
      </c>
      <c r="H42" s="204">
        <v>1</v>
      </c>
      <c r="I42" s="202">
        <v>0</v>
      </c>
      <c r="K42" s="77">
        <v>38</v>
      </c>
      <c r="L42" s="81" t="s">
        <v>65</v>
      </c>
      <c r="M42" s="81" t="s">
        <v>66</v>
      </c>
      <c r="N42" s="92">
        <f>'Raw Score Check'!K41</f>
        <v>0</v>
      </c>
      <c r="O42" s="134">
        <v>0</v>
      </c>
      <c r="P42" s="134">
        <v>0</v>
      </c>
      <c r="Q42" s="134">
        <v>0</v>
      </c>
      <c r="R42" s="134">
        <v>0</v>
      </c>
      <c r="U42" s="81"/>
      <c r="V42" s="81"/>
      <c r="W42" s="92"/>
      <c r="X42" s="81"/>
      <c r="Y42" s="81"/>
      <c r="AA42" s="78">
        <v>38</v>
      </c>
      <c r="AB42" s="81" t="s">
        <v>96</v>
      </c>
      <c r="AC42" s="81" t="s">
        <v>97</v>
      </c>
      <c r="AD42" s="93">
        <f>'Raw Score Check'!Q41</f>
        <v>0</v>
      </c>
      <c r="AE42" s="155">
        <v>0</v>
      </c>
      <c r="AF42" s="155">
        <v>0</v>
      </c>
    </row>
    <row r="43" spans="2:32" ht="30">
      <c r="B43" s="73">
        <v>39</v>
      </c>
      <c r="C43" s="81" t="s">
        <v>58</v>
      </c>
      <c r="D43" s="81" t="s">
        <v>59</v>
      </c>
      <c r="E43" s="203">
        <f>'Raw Score Check'!H42</f>
        <v>0</v>
      </c>
      <c r="F43" s="204">
        <v>0</v>
      </c>
      <c r="G43" s="204">
        <v>0</v>
      </c>
      <c r="H43" s="204">
        <v>1</v>
      </c>
      <c r="I43" s="205">
        <v>0</v>
      </c>
      <c r="K43" s="77">
        <v>39</v>
      </c>
      <c r="L43" s="81" t="s">
        <v>61</v>
      </c>
      <c r="M43" s="81" t="s">
        <v>63</v>
      </c>
      <c r="N43" s="92">
        <f>'Raw Score Check'!K42</f>
        <v>0</v>
      </c>
      <c r="O43" s="134">
        <v>0</v>
      </c>
      <c r="P43" s="134">
        <v>0</v>
      </c>
      <c r="Q43" s="134">
        <v>0</v>
      </c>
      <c r="R43" s="134">
        <v>0</v>
      </c>
      <c r="U43" s="81"/>
      <c r="V43" s="81"/>
      <c r="W43" s="92"/>
      <c r="X43" s="81"/>
      <c r="Y43" s="81"/>
      <c r="AB43" s="81"/>
      <c r="AC43" s="81"/>
    </row>
    <row r="44" spans="2:32" ht="30">
      <c r="B44" s="73">
        <v>40</v>
      </c>
      <c r="C44" s="81" t="s">
        <v>58</v>
      </c>
      <c r="D44" s="81" t="s">
        <v>59</v>
      </c>
      <c r="E44" s="130">
        <f>'Raw Score Check'!H43</f>
        <v>0</v>
      </c>
      <c r="F44" s="204">
        <v>0</v>
      </c>
      <c r="G44" s="204">
        <v>0</v>
      </c>
      <c r="H44" s="204">
        <v>1</v>
      </c>
      <c r="I44" s="205">
        <v>0</v>
      </c>
      <c r="K44" s="77">
        <v>40</v>
      </c>
      <c r="L44" s="81" t="s">
        <v>61</v>
      </c>
      <c r="M44" s="81" t="s">
        <v>64</v>
      </c>
      <c r="N44" s="92">
        <f>'Raw Score Check'!K43</f>
        <v>0</v>
      </c>
      <c r="O44" s="134">
        <v>1</v>
      </c>
      <c r="P44" s="134">
        <v>0</v>
      </c>
      <c r="Q44" s="134">
        <v>0</v>
      </c>
      <c r="R44" s="134">
        <v>0</v>
      </c>
      <c r="U44" s="81"/>
      <c r="V44" s="81"/>
      <c r="W44" s="92"/>
      <c r="X44" s="81"/>
      <c r="Y44" s="81"/>
      <c r="AB44" s="81"/>
      <c r="AC44" s="81"/>
    </row>
    <row r="45" spans="2:32" ht="30">
      <c r="B45" s="73">
        <v>41</v>
      </c>
      <c r="C45" s="81" t="s">
        <v>58</v>
      </c>
      <c r="D45" s="81" t="s">
        <v>59</v>
      </c>
      <c r="E45" s="203">
        <f>'Raw Score Check'!H44</f>
        <v>0</v>
      </c>
      <c r="F45" s="204">
        <v>0</v>
      </c>
      <c r="G45" s="204">
        <v>0</v>
      </c>
      <c r="H45" s="204">
        <v>1</v>
      </c>
      <c r="I45" s="202">
        <v>0</v>
      </c>
      <c r="K45" s="77">
        <v>41</v>
      </c>
      <c r="L45" s="81" t="s">
        <v>65</v>
      </c>
      <c r="M45" s="81" t="s">
        <v>68</v>
      </c>
      <c r="N45" s="92">
        <f>'Raw Score Check'!K44</f>
        <v>0</v>
      </c>
      <c r="O45" s="134">
        <v>0</v>
      </c>
      <c r="P45" s="134">
        <v>0</v>
      </c>
      <c r="Q45" s="134">
        <v>0</v>
      </c>
      <c r="R45" s="134">
        <v>0</v>
      </c>
      <c r="U45" s="81"/>
      <c r="V45" s="81"/>
      <c r="W45" s="92"/>
      <c r="X45" s="81"/>
      <c r="Y45" s="81"/>
      <c r="AB45" s="81"/>
      <c r="AC45" s="81"/>
    </row>
    <row r="46" spans="2:32" ht="60">
      <c r="B46" s="73">
        <v>42</v>
      </c>
      <c r="C46" s="81" t="s">
        <v>40</v>
      </c>
      <c r="D46" s="81" t="s">
        <v>46</v>
      </c>
      <c r="E46" s="130">
        <f>'Raw Score Check'!H45</f>
        <v>0</v>
      </c>
      <c r="F46" s="204">
        <v>1</v>
      </c>
      <c r="G46" s="204">
        <v>0</v>
      </c>
      <c r="H46" s="201">
        <v>0</v>
      </c>
      <c r="I46" s="204">
        <v>1</v>
      </c>
      <c r="K46" s="77">
        <v>42</v>
      </c>
      <c r="L46" s="81" t="s">
        <v>61</v>
      </c>
      <c r="M46" s="81" t="s">
        <v>64</v>
      </c>
      <c r="N46" s="92">
        <f>'Raw Score Check'!K45</f>
        <v>0</v>
      </c>
      <c r="O46" s="134">
        <v>0</v>
      </c>
      <c r="P46" s="134">
        <v>1</v>
      </c>
      <c r="Q46" s="134">
        <v>0</v>
      </c>
      <c r="R46" s="134">
        <v>0</v>
      </c>
      <c r="U46" s="81"/>
      <c r="V46" s="81"/>
      <c r="W46" s="92"/>
      <c r="X46" s="81"/>
      <c r="Y46" s="81"/>
      <c r="AB46" s="81"/>
      <c r="AC46" s="81"/>
    </row>
    <row r="47" spans="2:32" ht="30">
      <c r="B47" s="73">
        <v>43</v>
      </c>
      <c r="C47" s="81" t="s">
        <v>40</v>
      </c>
      <c r="D47" s="81" t="s">
        <v>45</v>
      </c>
      <c r="E47" s="203">
        <f>'Raw Score Check'!H46</f>
        <v>0</v>
      </c>
      <c r="F47" s="204">
        <v>0</v>
      </c>
      <c r="G47" s="204">
        <v>0</v>
      </c>
      <c r="H47" s="204">
        <v>0</v>
      </c>
      <c r="I47" s="204">
        <v>1</v>
      </c>
      <c r="K47" s="77">
        <v>43</v>
      </c>
      <c r="L47" s="81" t="s">
        <v>61</v>
      </c>
      <c r="M47" s="81" t="s">
        <v>62</v>
      </c>
      <c r="N47" s="92">
        <f>'Raw Score Check'!K46</f>
        <v>0</v>
      </c>
      <c r="O47" s="134">
        <v>0</v>
      </c>
      <c r="P47" s="134">
        <v>1</v>
      </c>
      <c r="Q47" s="134">
        <v>0</v>
      </c>
      <c r="R47" s="134">
        <v>0</v>
      </c>
      <c r="U47" s="81"/>
      <c r="V47" s="81"/>
      <c r="W47" s="92"/>
      <c r="X47" s="81"/>
      <c r="Y47" s="81"/>
      <c r="AB47" s="81"/>
      <c r="AC47" s="81"/>
    </row>
    <row r="48" spans="2:32" ht="30.75" thickBot="1">
      <c r="B48" s="73">
        <v>44</v>
      </c>
      <c r="C48" s="81" t="s">
        <v>40</v>
      </c>
      <c r="D48" s="81" t="s">
        <v>42</v>
      </c>
      <c r="E48" s="130">
        <f>'Raw Score Check'!H47</f>
        <v>0</v>
      </c>
      <c r="F48" s="204">
        <v>0</v>
      </c>
      <c r="G48" s="204">
        <v>1</v>
      </c>
      <c r="H48" s="201">
        <v>0</v>
      </c>
      <c r="I48" s="204">
        <v>1</v>
      </c>
      <c r="K48" s="78">
        <v>44</v>
      </c>
      <c r="L48" s="81" t="s">
        <v>61</v>
      </c>
      <c r="M48" s="81" t="s">
        <v>64</v>
      </c>
      <c r="N48" s="92">
        <f>'Raw Score Check'!K47</f>
        <v>0</v>
      </c>
      <c r="O48" s="134">
        <v>1</v>
      </c>
      <c r="P48" s="134">
        <v>0</v>
      </c>
      <c r="Q48" s="134">
        <v>0</v>
      </c>
      <c r="R48" s="134">
        <v>0</v>
      </c>
      <c r="U48" s="81"/>
      <c r="V48" s="81"/>
      <c r="W48" s="92"/>
      <c r="X48" s="81"/>
      <c r="Y48" s="81"/>
      <c r="AB48" s="81"/>
      <c r="AC48" s="81"/>
    </row>
    <row r="49" spans="2:25" ht="30">
      <c r="B49" s="73">
        <v>45</v>
      </c>
      <c r="C49" s="81" t="s">
        <v>40</v>
      </c>
      <c r="D49" s="81" t="s">
        <v>41</v>
      </c>
      <c r="E49" s="203">
        <f>'Raw Score Check'!H48</f>
        <v>0</v>
      </c>
      <c r="F49" s="204">
        <v>0</v>
      </c>
      <c r="G49" s="204">
        <v>0</v>
      </c>
      <c r="H49" s="204">
        <v>0</v>
      </c>
      <c r="I49" s="204">
        <v>1</v>
      </c>
      <c r="S49" s="81"/>
      <c r="V49" s="81"/>
      <c r="W49" s="92"/>
      <c r="X49" s="81"/>
      <c r="Y49" s="81"/>
    </row>
    <row r="50" spans="2:25" ht="30">
      <c r="B50" s="73">
        <v>46</v>
      </c>
      <c r="C50" s="81" t="s">
        <v>40</v>
      </c>
      <c r="D50" s="81" t="s">
        <v>42</v>
      </c>
      <c r="E50" s="130">
        <f>'Raw Score Check'!H49</f>
        <v>0</v>
      </c>
      <c r="F50" s="204">
        <v>0</v>
      </c>
      <c r="G50" s="204">
        <v>0</v>
      </c>
      <c r="H50" s="204">
        <v>0</v>
      </c>
      <c r="I50" s="204">
        <v>1</v>
      </c>
      <c r="L50" s="80" t="s">
        <v>125</v>
      </c>
      <c r="M50" s="81" t="s">
        <v>47</v>
      </c>
      <c r="O50" s="75" t="s">
        <v>48</v>
      </c>
      <c r="S50" s="81"/>
      <c r="V50" s="81"/>
      <c r="W50" s="92"/>
      <c r="X50" s="81"/>
      <c r="Y50" s="81"/>
    </row>
    <row r="51" spans="2:25" ht="60">
      <c r="B51" s="73">
        <v>47</v>
      </c>
      <c r="C51" s="81" t="s">
        <v>40</v>
      </c>
      <c r="D51" s="81" t="s">
        <v>46</v>
      </c>
      <c r="E51" s="203">
        <f>'Raw Score Check'!H50</f>
        <v>0</v>
      </c>
      <c r="F51" s="204">
        <v>1</v>
      </c>
      <c r="G51" s="204">
        <v>0</v>
      </c>
      <c r="H51" s="201">
        <v>0</v>
      </c>
      <c r="I51" s="204">
        <v>1</v>
      </c>
      <c r="L51" s="81" t="s">
        <v>41</v>
      </c>
      <c r="S51" s="81"/>
      <c r="V51" s="81"/>
      <c r="W51" s="92"/>
      <c r="X51" s="81"/>
      <c r="Y51" s="81"/>
    </row>
    <row r="52" spans="2:25" ht="30">
      <c r="B52" s="73">
        <v>48</v>
      </c>
      <c r="C52" s="81" t="s">
        <v>52</v>
      </c>
      <c r="D52" s="81" t="s">
        <v>56</v>
      </c>
      <c r="E52" s="130">
        <f>'Raw Score Check'!H51</f>
        <v>0</v>
      </c>
      <c r="F52" s="204">
        <v>0</v>
      </c>
      <c r="G52" s="204">
        <v>0</v>
      </c>
      <c r="H52" s="204">
        <v>0</v>
      </c>
      <c r="I52" s="204">
        <v>1</v>
      </c>
      <c r="S52" s="81"/>
      <c r="V52" s="81"/>
      <c r="W52" s="92"/>
      <c r="X52" s="81"/>
      <c r="Y52" s="81"/>
    </row>
    <row r="53" spans="2:25" ht="30">
      <c r="B53" s="73">
        <v>49</v>
      </c>
      <c r="C53" s="81" t="s">
        <v>52</v>
      </c>
      <c r="D53" s="81" t="s">
        <v>57</v>
      </c>
      <c r="E53" s="203">
        <f>'Raw Score Check'!H52</f>
        <v>0</v>
      </c>
      <c r="F53" s="204">
        <v>0</v>
      </c>
      <c r="G53" s="204">
        <v>0</v>
      </c>
      <c r="H53" s="201">
        <v>0</v>
      </c>
      <c r="I53" s="204">
        <v>1</v>
      </c>
      <c r="S53" s="81"/>
      <c r="V53" s="81"/>
      <c r="W53" s="92"/>
      <c r="X53" s="81"/>
      <c r="Y53" s="81"/>
    </row>
    <row r="54" spans="2:25" ht="30">
      <c r="B54" s="73">
        <v>50</v>
      </c>
      <c r="C54" s="81" t="s">
        <v>40</v>
      </c>
      <c r="D54" s="81" t="s">
        <v>42</v>
      </c>
      <c r="E54" s="130">
        <f>'Raw Score Check'!H53</f>
        <v>0</v>
      </c>
      <c r="F54" s="204">
        <v>0</v>
      </c>
      <c r="G54" s="204">
        <v>1</v>
      </c>
      <c r="H54" s="204">
        <v>0</v>
      </c>
      <c r="I54" s="204">
        <v>1</v>
      </c>
    </row>
    <row r="55" spans="2:25" ht="45">
      <c r="B55" s="73">
        <v>51</v>
      </c>
      <c r="C55" s="81" t="s">
        <v>58</v>
      </c>
      <c r="D55" s="81" t="s">
        <v>60</v>
      </c>
      <c r="E55" s="203">
        <f>'Raw Score Check'!H54</f>
        <v>0</v>
      </c>
      <c r="F55" s="204">
        <v>0</v>
      </c>
      <c r="G55" s="204">
        <v>0</v>
      </c>
      <c r="H55" s="201">
        <v>0</v>
      </c>
      <c r="I55" s="204">
        <v>1</v>
      </c>
    </row>
    <row r="56" spans="2:25" ht="30.75" thickBot="1">
      <c r="B56" s="74">
        <v>52</v>
      </c>
      <c r="C56" s="81" t="s">
        <v>40</v>
      </c>
      <c r="D56" s="81" t="s">
        <v>42</v>
      </c>
      <c r="E56" s="130">
        <f>'Raw Score Check'!H55</f>
        <v>0</v>
      </c>
      <c r="F56" s="204">
        <v>0</v>
      </c>
      <c r="G56" s="204">
        <v>1</v>
      </c>
      <c r="H56" s="204">
        <v>0</v>
      </c>
      <c r="I56" s="204">
        <v>1</v>
      </c>
    </row>
  </sheetData>
  <dataValidations count="7">
    <dataValidation type="list" allowBlank="1" showInputMessage="1" showErrorMessage="1" sqref="V5:V24">
      <formula1>MathDependentList111</formula1>
    </dataValidation>
    <dataValidation type="list" allowBlank="1" showInputMessage="1" showErrorMessage="1" sqref="M5:M48">
      <formula1>WritingDependentList3</formula1>
    </dataValidation>
    <dataValidation type="list" allowBlank="1" showInputMessage="1" showErrorMessage="1" sqref="N5:P48 Q27:Q48 Q5:Q16 Q18:Q19 Q23 Q25 R5:R26 R28 R30:R33 R38:R48 AE7 AE12 AE21:AE22 AE25 AE32 AE36 AE41 AF13:AF14 AF17 AF19 AF23:AF24 AF29">
      <formula1>WritingDependentList</formula1>
    </dataValidation>
    <dataValidation type="list" allowBlank="1" showInputMessage="1" showErrorMessage="1" sqref="L5:L48">
      <formula1>WritingHeader</formula1>
    </dataValidation>
    <dataValidation type="list" allowBlank="1" showInputMessage="1" showErrorMessage="1" sqref="E5:I56 Q17 Q20:Q22 Q24 Q26 R27 R29 R34:R37 Y12">
      <formula1>ReadingDependentList</formula1>
    </dataValidation>
    <dataValidation type="list" allowBlank="1" showInputMessage="1" showErrorMessage="1" sqref="AC5:AC42">
      <formula1>MathDependentList222</formula1>
    </dataValidation>
    <dataValidation type="list" allowBlank="1" showInputMessage="1" showErrorMessage="1" sqref="D5:D56">
      <formula1>ReadingDependentList3</formula1>
    </dataValidation>
  </dataValidations>
  <pageMargins left="0.7" right="0.7" top="0.75" bottom="0.75" header="0.3" footer="0.3"/>
  <tableParts count="4">
    <tablePart r:id="rId1"/>
    <tablePart r:id="rId2"/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Key!$G$3:$J$3</xm:f>
          </x14:formula1>
          <xm:sqref>C5:C56</xm:sqref>
        </x14:dataValidation>
        <x14:dataValidation type="list" allowBlank="1" showInputMessage="1" showErrorMessage="1">
          <x14:formula1>
            <xm:f>'Skill Key'!$A$3:$E$3</xm:f>
          </x14:formula1>
          <xm:sqref>U5:U24 AB5:AB42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>
  <dimension ref="A1:AF60"/>
  <sheetViews>
    <sheetView topLeftCell="O40" zoomScale="85" zoomScaleNormal="85" workbookViewId="0">
      <selection activeCell="AC42" sqref="AC42"/>
    </sheetView>
  </sheetViews>
  <sheetFormatPr defaultColWidth="9.140625" defaultRowHeight="15"/>
  <cols>
    <col min="1" max="1" width="5.140625" style="75" customWidth="1"/>
    <col min="2" max="2" width="11.140625" style="75" customWidth="1"/>
    <col min="3" max="5" width="15.7109375" style="81" customWidth="1"/>
    <col min="6" max="6" width="9.140625" style="75"/>
    <col min="7" max="7" width="11.140625" style="75" customWidth="1"/>
    <col min="8" max="9" width="15.7109375" style="81" customWidth="1"/>
    <col min="10" max="10" width="9.140625" style="75"/>
    <col min="11" max="11" width="11.140625" style="75" customWidth="1"/>
    <col min="12" max="13" width="15.7109375" style="81" customWidth="1"/>
    <col min="14" max="14" width="15.7109375" style="92" customWidth="1"/>
    <col min="15" max="15" width="9.140625" style="75"/>
    <col min="16" max="16" width="11.140625" style="75" customWidth="1"/>
    <col min="17" max="17" width="17.85546875" style="81" customWidth="1"/>
    <col min="18" max="18" width="15.7109375" style="81" customWidth="1"/>
    <col min="19" max="21" width="9.140625" style="75"/>
    <col min="22" max="22" width="22" style="75" customWidth="1"/>
    <col min="23" max="23" width="9.140625" style="93"/>
    <col min="24" max="28" width="9.140625" style="75"/>
    <col min="29" max="29" width="23.42578125" style="75" customWidth="1"/>
    <col min="30" max="30" width="9.140625" style="93"/>
    <col min="31" max="16384" width="9.140625" style="75"/>
  </cols>
  <sheetData>
    <row r="1" spans="1:32">
      <c r="A1" s="79" t="s">
        <v>11</v>
      </c>
      <c r="S1" s="81"/>
      <c r="V1" s="81"/>
      <c r="W1" s="92"/>
      <c r="X1" s="81"/>
      <c r="Y1" s="81"/>
    </row>
    <row r="2" spans="1:32">
      <c r="S2" s="81"/>
      <c r="V2" s="81"/>
      <c r="W2" s="92"/>
      <c r="X2" s="81"/>
      <c r="Y2" s="81"/>
    </row>
    <row r="3" spans="1:32">
      <c r="S3" s="81"/>
      <c r="V3" s="81"/>
      <c r="W3" s="92"/>
      <c r="X3" s="81"/>
      <c r="Y3" s="81"/>
    </row>
    <row r="4" spans="1:32" ht="45.75" thickBot="1">
      <c r="B4" s="79" t="s">
        <v>117</v>
      </c>
      <c r="C4" s="80" t="s">
        <v>118</v>
      </c>
      <c r="D4" s="80" t="s">
        <v>119</v>
      </c>
      <c r="E4" s="200" t="s">
        <v>126</v>
      </c>
      <c r="F4" s="206" t="s">
        <v>139</v>
      </c>
      <c r="G4" s="206" t="s">
        <v>140</v>
      </c>
      <c r="H4" s="206" t="s">
        <v>143</v>
      </c>
      <c r="I4" s="207" t="s">
        <v>144</v>
      </c>
      <c r="K4" s="79" t="s">
        <v>120</v>
      </c>
      <c r="L4" s="80" t="s">
        <v>118</v>
      </c>
      <c r="M4" s="80" t="s">
        <v>119</v>
      </c>
      <c r="N4" s="132" t="s">
        <v>126</v>
      </c>
      <c r="O4" s="132" t="s">
        <v>139</v>
      </c>
      <c r="P4" s="132" t="s">
        <v>140</v>
      </c>
      <c r="Q4" s="132" t="s">
        <v>143</v>
      </c>
      <c r="R4" s="132" t="s">
        <v>144</v>
      </c>
      <c r="T4" s="79" t="s">
        <v>121</v>
      </c>
      <c r="U4" s="80" t="s">
        <v>118</v>
      </c>
      <c r="V4" s="80" t="s">
        <v>119</v>
      </c>
      <c r="W4" s="132" t="s">
        <v>126</v>
      </c>
      <c r="X4" s="208" t="s">
        <v>143</v>
      </c>
      <c r="Y4" s="208" t="s">
        <v>144</v>
      </c>
      <c r="AA4" s="79" t="s">
        <v>122</v>
      </c>
      <c r="AB4" s="80" t="s">
        <v>118</v>
      </c>
      <c r="AC4" s="80" t="s">
        <v>119</v>
      </c>
      <c r="AD4" s="65" t="s">
        <v>126</v>
      </c>
      <c r="AE4" s="65" t="s">
        <v>143</v>
      </c>
      <c r="AF4" s="65" t="s">
        <v>144</v>
      </c>
    </row>
    <row r="5" spans="1:32" ht="30">
      <c r="B5" s="73">
        <v>1</v>
      </c>
      <c r="C5" s="81" t="s">
        <v>52</v>
      </c>
      <c r="D5" s="81" t="s">
        <v>55</v>
      </c>
      <c r="E5" s="203">
        <f>'Raw Score Check'!H4</f>
        <v>0</v>
      </c>
      <c r="F5" s="204">
        <v>0</v>
      </c>
      <c r="G5" s="204">
        <v>0</v>
      </c>
      <c r="H5" s="204">
        <v>0</v>
      </c>
      <c r="I5" s="205">
        <v>0</v>
      </c>
      <c r="K5" s="76">
        <v>1</v>
      </c>
      <c r="L5" s="81" t="s">
        <v>65</v>
      </c>
      <c r="M5" s="81" t="s">
        <v>66</v>
      </c>
      <c r="N5" s="92">
        <f>'Raw Score Check'!K4</f>
        <v>0</v>
      </c>
      <c r="O5" s="134">
        <v>0</v>
      </c>
      <c r="P5" s="134">
        <v>0</v>
      </c>
      <c r="Q5" s="134">
        <v>0</v>
      </c>
      <c r="R5" s="134">
        <v>0</v>
      </c>
      <c r="T5" s="77">
        <v>1</v>
      </c>
      <c r="U5" s="81" t="s">
        <v>71</v>
      </c>
      <c r="V5" s="81" t="s">
        <v>72</v>
      </c>
      <c r="W5" s="92">
        <f>'Raw Score Check'!N4</f>
        <v>0</v>
      </c>
      <c r="X5" s="154">
        <v>0</v>
      </c>
      <c r="Y5" s="154">
        <v>0</v>
      </c>
      <c r="AA5" s="77">
        <v>1</v>
      </c>
      <c r="AB5" s="81" t="s">
        <v>71</v>
      </c>
      <c r="AC5" s="81" t="s">
        <v>74</v>
      </c>
      <c r="AD5" s="93">
        <f>'Raw Score Check'!Q4</f>
        <v>0</v>
      </c>
      <c r="AE5" s="155">
        <v>0</v>
      </c>
      <c r="AF5" s="155">
        <v>0</v>
      </c>
    </row>
    <row r="6" spans="1:32" ht="30">
      <c r="B6" s="73">
        <v>2</v>
      </c>
      <c r="C6" s="81" t="s">
        <v>40</v>
      </c>
      <c r="D6" s="81" t="s">
        <v>42</v>
      </c>
      <c r="E6" s="130">
        <f>'Raw Score Check'!H5</f>
        <v>0</v>
      </c>
      <c r="F6" s="204">
        <v>0</v>
      </c>
      <c r="G6" s="204">
        <v>1</v>
      </c>
      <c r="H6" s="201">
        <v>0</v>
      </c>
      <c r="I6" s="202">
        <v>0</v>
      </c>
      <c r="K6" s="77">
        <v>2</v>
      </c>
      <c r="L6" s="81" t="s">
        <v>61</v>
      </c>
      <c r="M6" s="81" t="s">
        <v>64</v>
      </c>
      <c r="N6" s="92">
        <f>'Raw Score Check'!K5</f>
        <v>0</v>
      </c>
      <c r="O6" s="134">
        <v>0</v>
      </c>
      <c r="P6" s="134">
        <v>0</v>
      </c>
      <c r="Q6" s="134">
        <v>0</v>
      </c>
      <c r="R6" s="134">
        <v>0</v>
      </c>
      <c r="T6" s="77">
        <v>2</v>
      </c>
      <c r="U6" s="81" t="s">
        <v>71</v>
      </c>
      <c r="V6" s="81" t="s">
        <v>73</v>
      </c>
      <c r="W6" s="92">
        <f>'Raw Score Check'!N5</f>
        <v>0</v>
      </c>
      <c r="X6" s="154">
        <v>0</v>
      </c>
      <c r="Y6" s="154">
        <v>0</v>
      </c>
      <c r="AA6" s="77">
        <v>2</v>
      </c>
      <c r="AB6" s="81" t="s">
        <v>71</v>
      </c>
      <c r="AC6" s="81" t="s">
        <v>74</v>
      </c>
      <c r="AD6" s="93">
        <f>'Raw Score Check'!Q5</f>
        <v>0</v>
      </c>
      <c r="AE6" s="155">
        <v>0</v>
      </c>
      <c r="AF6" s="155">
        <v>0</v>
      </c>
    </row>
    <row r="7" spans="1:32" ht="60">
      <c r="B7" s="73">
        <v>3</v>
      </c>
      <c r="C7" s="81" t="s">
        <v>40</v>
      </c>
      <c r="D7" s="81" t="s">
        <v>46</v>
      </c>
      <c r="E7" s="203">
        <f>'Raw Score Check'!H6</f>
        <v>0</v>
      </c>
      <c r="F7" s="204">
        <v>1</v>
      </c>
      <c r="G7" s="204">
        <v>0</v>
      </c>
      <c r="H7" s="204">
        <v>0</v>
      </c>
      <c r="I7" s="205">
        <v>0</v>
      </c>
      <c r="K7" s="77">
        <v>3</v>
      </c>
      <c r="L7" s="81" t="s">
        <v>65</v>
      </c>
      <c r="M7" s="81" t="s">
        <v>68</v>
      </c>
      <c r="N7" s="92">
        <f>'Raw Score Check'!K6</f>
        <v>0</v>
      </c>
      <c r="O7" s="134">
        <v>0</v>
      </c>
      <c r="P7" s="134">
        <v>0</v>
      </c>
      <c r="Q7" s="134">
        <v>0</v>
      </c>
      <c r="R7" s="134">
        <v>0</v>
      </c>
      <c r="T7" s="77">
        <v>3</v>
      </c>
      <c r="U7" s="81" t="s">
        <v>71</v>
      </c>
      <c r="V7" s="81" t="s">
        <v>79</v>
      </c>
      <c r="W7" s="92">
        <f>'Raw Score Check'!N6</f>
        <v>0</v>
      </c>
      <c r="X7" s="154">
        <v>0</v>
      </c>
      <c r="Y7" s="154">
        <v>0</v>
      </c>
      <c r="AA7" s="77">
        <v>3</v>
      </c>
      <c r="AB7" s="81" t="s">
        <v>96</v>
      </c>
      <c r="AC7" s="81" t="s">
        <v>99</v>
      </c>
      <c r="AD7" s="93">
        <f>'Raw Score Check'!Q6</f>
        <v>0</v>
      </c>
      <c r="AE7" s="155">
        <v>0</v>
      </c>
      <c r="AF7" s="155">
        <v>0</v>
      </c>
    </row>
    <row r="8" spans="1:32" ht="90">
      <c r="B8" s="73">
        <v>4</v>
      </c>
      <c r="C8" s="81" t="s">
        <v>52</v>
      </c>
      <c r="D8" s="81" t="s">
        <v>56</v>
      </c>
      <c r="E8" s="130">
        <f>'Raw Score Check'!H7</f>
        <v>0</v>
      </c>
      <c r="F8" s="204">
        <v>0</v>
      </c>
      <c r="G8" s="204">
        <v>0</v>
      </c>
      <c r="H8" s="201">
        <v>0</v>
      </c>
      <c r="I8" s="205">
        <v>0</v>
      </c>
      <c r="K8" s="77">
        <v>4</v>
      </c>
      <c r="L8" s="81" t="s">
        <v>61</v>
      </c>
      <c r="M8" s="81" t="s">
        <v>63</v>
      </c>
      <c r="N8" s="92">
        <f>'Raw Score Check'!K7</f>
        <v>0</v>
      </c>
      <c r="O8" s="134">
        <v>0</v>
      </c>
      <c r="P8" s="134">
        <v>0</v>
      </c>
      <c r="Q8" s="134">
        <v>0</v>
      </c>
      <c r="R8" s="134">
        <v>0</v>
      </c>
      <c r="T8" s="77">
        <v>4</v>
      </c>
      <c r="U8" s="81" t="s">
        <v>81</v>
      </c>
      <c r="V8" s="81" t="s">
        <v>95</v>
      </c>
      <c r="W8" s="92">
        <f>'Raw Score Check'!N7</f>
        <v>0</v>
      </c>
      <c r="X8" s="154">
        <v>0</v>
      </c>
      <c r="Y8" s="154">
        <v>0</v>
      </c>
      <c r="AA8" s="77">
        <v>4</v>
      </c>
      <c r="AB8" s="81" t="s">
        <v>96</v>
      </c>
      <c r="AC8" s="81" t="s">
        <v>98</v>
      </c>
      <c r="AD8" s="93">
        <f>'Raw Score Check'!Q7</f>
        <v>0</v>
      </c>
      <c r="AE8" s="155">
        <v>0</v>
      </c>
      <c r="AF8" s="155">
        <v>0</v>
      </c>
    </row>
    <row r="9" spans="1:32" ht="90">
      <c r="B9" s="73">
        <v>5</v>
      </c>
      <c r="C9" s="81" t="s">
        <v>40</v>
      </c>
      <c r="D9" s="81" t="s">
        <v>41</v>
      </c>
      <c r="E9" s="203">
        <f>'Raw Score Check'!H8</f>
        <v>0</v>
      </c>
      <c r="F9" s="204">
        <v>0</v>
      </c>
      <c r="G9" s="204">
        <v>0</v>
      </c>
      <c r="H9" s="204">
        <v>0</v>
      </c>
      <c r="I9" s="202">
        <v>0</v>
      </c>
      <c r="K9" s="77">
        <v>5</v>
      </c>
      <c r="L9" s="81" t="s">
        <v>61</v>
      </c>
      <c r="M9" s="81" t="s">
        <v>64</v>
      </c>
      <c r="N9" s="92">
        <f>'Raw Score Check'!K8</f>
        <v>0</v>
      </c>
      <c r="O9" s="134">
        <v>1</v>
      </c>
      <c r="P9" s="134">
        <v>0</v>
      </c>
      <c r="Q9" s="134">
        <v>0</v>
      </c>
      <c r="R9" s="134">
        <v>0</v>
      </c>
      <c r="T9" s="77">
        <v>5</v>
      </c>
      <c r="U9" s="81" t="s">
        <v>81</v>
      </c>
      <c r="V9" s="81" t="s">
        <v>85</v>
      </c>
      <c r="W9" s="92">
        <f>'Raw Score Check'!N8</f>
        <v>0</v>
      </c>
      <c r="X9" s="154">
        <v>0</v>
      </c>
      <c r="Y9" s="154">
        <v>0</v>
      </c>
      <c r="AA9" s="77">
        <v>5</v>
      </c>
      <c r="AB9" s="81" t="s">
        <v>96</v>
      </c>
      <c r="AC9" s="81" t="s">
        <v>99</v>
      </c>
      <c r="AD9" s="93">
        <f>'Raw Score Check'!Q8</f>
        <v>0</v>
      </c>
      <c r="AE9" s="155">
        <v>0</v>
      </c>
      <c r="AF9" s="201">
        <v>1</v>
      </c>
    </row>
    <row r="10" spans="1:32" ht="90">
      <c r="B10" s="73">
        <v>6</v>
      </c>
      <c r="C10" s="81" t="s">
        <v>40</v>
      </c>
      <c r="D10" s="81" t="s">
        <v>42</v>
      </c>
      <c r="E10" s="130">
        <f>'Raw Score Check'!H9</f>
        <v>0</v>
      </c>
      <c r="F10" s="204">
        <v>0</v>
      </c>
      <c r="G10" s="204">
        <v>1</v>
      </c>
      <c r="H10" s="201">
        <v>0</v>
      </c>
      <c r="I10" s="205">
        <v>0</v>
      </c>
      <c r="K10" s="77">
        <v>6</v>
      </c>
      <c r="L10" s="81" t="s">
        <v>65</v>
      </c>
      <c r="M10" s="81" t="s">
        <v>66</v>
      </c>
      <c r="N10" s="92">
        <f>'Raw Score Check'!K9</f>
        <v>0</v>
      </c>
      <c r="O10" s="134">
        <v>0</v>
      </c>
      <c r="P10" s="134">
        <v>0</v>
      </c>
      <c r="Q10" s="134">
        <v>0</v>
      </c>
      <c r="R10" s="134">
        <v>0</v>
      </c>
      <c r="T10" s="77">
        <v>6</v>
      </c>
      <c r="U10" s="81" t="s">
        <v>81</v>
      </c>
      <c r="V10" s="81" t="s">
        <v>93</v>
      </c>
      <c r="W10" s="92">
        <f>'Raw Score Check'!N9</f>
        <v>0</v>
      </c>
      <c r="X10" s="154">
        <v>0</v>
      </c>
      <c r="Y10" s="154">
        <v>0</v>
      </c>
      <c r="AA10" s="77">
        <v>6</v>
      </c>
      <c r="AB10" s="81" t="s">
        <v>71</v>
      </c>
      <c r="AC10" s="81" t="s">
        <v>74</v>
      </c>
      <c r="AD10" s="93">
        <f>'Raw Score Check'!Q9</f>
        <v>0</v>
      </c>
      <c r="AE10" s="155">
        <v>0</v>
      </c>
      <c r="AF10" s="155">
        <v>0</v>
      </c>
    </row>
    <row r="11" spans="1:32" ht="60">
      <c r="B11" s="73">
        <v>7</v>
      </c>
      <c r="C11" s="81" t="s">
        <v>52</v>
      </c>
      <c r="D11" s="81" t="s">
        <v>55</v>
      </c>
      <c r="E11" s="203">
        <f>'Raw Score Check'!H10</f>
        <v>0</v>
      </c>
      <c r="F11" s="204">
        <v>0</v>
      </c>
      <c r="G11" s="204">
        <v>0</v>
      </c>
      <c r="H11" s="204">
        <v>0</v>
      </c>
      <c r="I11" s="205">
        <v>0</v>
      </c>
      <c r="K11" s="77">
        <v>7</v>
      </c>
      <c r="L11" s="81" t="s">
        <v>65</v>
      </c>
      <c r="M11" s="81" t="s">
        <v>66</v>
      </c>
      <c r="N11" s="92">
        <f>'Raw Score Check'!K10</f>
        <v>0</v>
      </c>
      <c r="O11" s="134">
        <v>0</v>
      </c>
      <c r="P11" s="134">
        <v>0</v>
      </c>
      <c r="Q11" s="134">
        <v>0</v>
      </c>
      <c r="R11" s="134">
        <v>0</v>
      </c>
      <c r="T11" s="77">
        <v>7</v>
      </c>
      <c r="U11" s="81" t="s">
        <v>71</v>
      </c>
      <c r="V11" s="81" t="s">
        <v>74</v>
      </c>
      <c r="W11" s="92">
        <f>'Raw Score Check'!N10</f>
        <v>0</v>
      </c>
      <c r="X11" s="154">
        <v>0</v>
      </c>
      <c r="Y11" s="154">
        <v>0</v>
      </c>
      <c r="AA11" s="77">
        <v>7</v>
      </c>
      <c r="AB11" s="81" t="s">
        <v>96</v>
      </c>
      <c r="AC11" s="81" t="s">
        <v>100</v>
      </c>
      <c r="AD11" s="93">
        <f>'Raw Score Check'!Q10</f>
        <v>0</v>
      </c>
      <c r="AE11" s="155">
        <v>0</v>
      </c>
      <c r="AF11" s="155">
        <v>0</v>
      </c>
    </row>
    <row r="12" spans="1:32" ht="30">
      <c r="B12" s="73">
        <v>8</v>
      </c>
      <c r="C12" s="81" t="s">
        <v>40</v>
      </c>
      <c r="D12" s="81" t="s">
        <v>41</v>
      </c>
      <c r="E12" s="130">
        <f>'Raw Score Check'!H11</f>
        <v>0</v>
      </c>
      <c r="F12" s="204">
        <v>0</v>
      </c>
      <c r="G12" s="204">
        <v>0</v>
      </c>
      <c r="H12" s="201">
        <v>0</v>
      </c>
      <c r="I12" s="202">
        <v>0</v>
      </c>
      <c r="K12" s="77">
        <v>8</v>
      </c>
      <c r="L12" s="81" t="s">
        <v>61</v>
      </c>
      <c r="M12" s="81" t="s">
        <v>64</v>
      </c>
      <c r="N12" s="92">
        <f>'Raw Score Check'!K11</f>
        <v>0</v>
      </c>
      <c r="O12" s="134">
        <v>1</v>
      </c>
      <c r="P12" s="134">
        <v>0</v>
      </c>
      <c r="Q12" s="134">
        <v>0</v>
      </c>
      <c r="R12" s="134">
        <v>0</v>
      </c>
      <c r="T12" s="77">
        <v>8</v>
      </c>
      <c r="U12" s="81" t="s">
        <v>71</v>
      </c>
      <c r="V12" s="81" t="s">
        <v>76</v>
      </c>
      <c r="W12" s="92">
        <f>'Raw Score Check'!N11</f>
        <v>0</v>
      </c>
      <c r="X12" s="154">
        <v>0</v>
      </c>
      <c r="Y12" s="154">
        <v>0</v>
      </c>
      <c r="AA12" s="77">
        <v>8</v>
      </c>
      <c r="AB12" s="81" t="s">
        <v>71</v>
      </c>
      <c r="AC12" s="81" t="s">
        <v>76</v>
      </c>
      <c r="AD12" s="93">
        <f>'Raw Score Check'!Q11</f>
        <v>0</v>
      </c>
      <c r="AE12" s="155">
        <v>0</v>
      </c>
      <c r="AF12" s="155">
        <v>0</v>
      </c>
    </row>
    <row r="13" spans="1:32" ht="90">
      <c r="B13" s="73">
        <v>9</v>
      </c>
      <c r="C13" s="81" t="s">
        <v>40</v>
      </c>
      <c r="D13" s="81" t="s">
        <v>46</v>
      </c>
      <c r="E13" s="203">
        <f>'Raw Score Check'!H12</f>
        <v>0</v>
      </c>
      <c r="F13" s="204">
        <v>1</v>
      </c>
      <c r="G13" s="204">
        <v>0</v>
      </c>
      <c r="H13" s="204">
        <v>0</v>
      </c>
      <c r="I13" s="205">
        <v>0</v>
      </c>
      <c r="K13" s="77">
        <v>9</v>
      </c>
      <c r="L13" s="81" t="s">
        <v>65</v>
      </c>
      <c r="M13" s="81" t="s">
        <v>66</v>
      </c>
      <c r="N13" s="92">
        <f>'Raw Score Check'!K12</f>
        <v>0</v>
      </c>
      <c r="O13" s="134">
        <v>0</v>
      </c>
      <c r="P13" s="134">
        <v>0</v>
      </c>
      <c r="Q13" s="134">
        <v>0</v>
      </c>
      <c r="R13" s="134">
        <v>0</v>
      </c>
      <c r="T13" s="77">
        <v>9</v>
      </c>
      <c r="U13" s="81" t="s">
        <v>81</v>
      </c>
      <c r="V13" s="81" t="s">
        <v>87</v>
      </c>
      <c r="W13" s="92">
        <f>'Raw Score Check'!N12</f>
        <v>0</v>
      </c>
      <c r="X13" s="154">
        <v>0</v>
      </c>
      <c r="Y13" s="154">
        <v>0</v>
      </c>
      <c r="AA13" s="77">
        <v>9</v>
      </c>
      <c r="AB13" s="81" t="s">
        <v>96</v>
      </c>
      <c r="AC13" s="81" t="s">
        <v>100</v>
      </c>
      <c r="AD13" s="93">
        <f>'Raw Score Check'!Q12</f>
        <v>0</v>
      </c>
      <c r="AE13" s="201">
        <v>1</v>
      </c>
      <c r="AF13" s="155">
        <v>0</v>
      </c>
    </row>
    <row r="14" spans="1:32" ht="90">
      <c r="B14" s="73">
        <v>10</v>
      </c>
      <c r="C14" s="81" t="s">
        <v>40</v>
      </c>
      <c r="D14" s="81" t="s">
        <v>46</v>
      </c>
      <c r="E14" s="130">
        <f>'Raw Score Check'!H13</f>
        <v>0</v>
      </c>
      <c r="F14" s="204">
        <v>0</v>
      </c>
      <c r="G14" s="204">
        <v>0</v>
      </c>
      <c r="H14" s="204">
        <v>0</v>
      </c>
      <c r="I14" s="205">
        <v>0</v>
      </c>
      <c r="K14" s="77">
        <v>10</v>
      </c>
      <c r="L14" s="81" t="s">
        <v>61</v>
      </c>
      <c r="M14" s="81" t="s">
        <v>64</v>
      </c>
      <c r="N14" s="92">
        <f>'Raw Score Check'!K13</f>
        <v>0</v>
      </c>
      <c r="O14" s="134">
        <v>0</v>
      </c>
      <c r="P14" s="134">
        <v>1</v>
      </c>
      <c r="Q14" s="134">
        <v>0</v>
      </c>
      <c r="R14" s="134">
        <v>0</v>
      </c>
      <c r="T14" s="77">
        <v>10</v>
      </c>
      <c r="U14" s="81" t="s">
        <v>81</v>
      </c>
      <c r="V14" s="81" t="s">
        <v>94</v>
      </c>
      <c r="W14" s="92">
        <f>'Raw Score Check'!N13</f>
        <v>0</v>
      </c>
      <c r="X14" s="154">
        <v>0</v>
      </c>
      <c r="Y14" s="154">
        <v>0</v>
      </c>
      <c r="AA14" s="77">
        <v>10</v>
      </c>
      <c r="AB14" s="81" t="s">
        <v>96</v>
      </c>
      <c r="AC14" s="81" t="s">
        <v>101</v>
      </c>
      <c r="AD14" s="93">
        <f>'Raw Score Check'!Q13</f>
        <v>0</v>
      </c>
      <c r="AE14" s="155">
        <v>0</v>
      </c>
      <c r="AF14" s="201">
        <v>1</v>
      </c>
    </row>
    <row r="15" spans="1:32" ht="90">
      <c r="B15" s="73">
        <v>11</v>
      </c>
      <c r="C15" s="81" t="s">
        <v>40</v>
      </c>
      <c r="D15" s="81" t="s">
        <v>44</v>
      </c>
      <c r="E15" s="203">
        <f>'Raw Score Check'!H14</f>
        <v>0</v>
      </c>
      <c r="F15" s="204">
        <v>0</v>
      </c>
      <c r="G15" s="204">
        <v>0</v>
      </c>
      <c r="H15" s="201">
        <v>1</v>
      </c>
      <c r="I15" s="202">
        <v>0</v>
      </c>
      <c r="K15" s="77">
        <v>11</v>
      </c>
      <c r="L15" s="81" t="s">
        <v>61</v>
      </c>
      <c r="M15" s="81" t="s">
        <v>62</v>
      </c>
      <c r="N15" s="92">
        <f>'Raw Score Check'!K14</f>
        <v>0</v>
      </c>
      <c r="O15" s="134">
        <v>0</v>
      </c>
      <c r="P15" s="134">
        <v>1</v>
      </c>
      <c r="Q15" s="134">
        <v>0</v>
      </c>
      <c r="R15" s="134">
        <v>0</v>
      </c>
      <c r="T15" s="77">
        <v>11</v>
      </c>
      <c r="U15" s="81" t="s">
        <v>81</v>
      </c>
      <c r="V15" s="81" t="s">
        <v>92</v>
      </c>
      <c r="W15" s="92">
        <f>'Raw Score Check'!N14</f>
        <v>0</v>
      </c>
      <c r="X15" s="154">
        <v>0</v>
      </c>
      <c r="Y15" s="154">
        <v>0</v>
      </c>
      <c r="AA15" s="77">
        <v>11</v>
      </c>
      <c r="AB15" s="81" t="s">
        <v>96</v>
      </c>
      <c r="AC15" s="81" t="s">
        <v>101</v>
      </c>
      <c r="AD15" s="93">
        <f>'Raw Score Check'!Q14</f>
        <v>0</v>
      </c>
      <c r="AE15" s="155">
        <v>0</v>
      </c>
      <c r="AF15" s="201">
        <v>1</v>
      </c>
    </row>
    <row r="16" spans="1:32" ht="90">
      <c r="B16" s="73">
        <v>12</v>
      </c>
      <c r="C16" s="81" t="s">
        <v>58</v>
      </c>
      <c r="D16" s="81" t="s">
        <v>60</v>
      </c>
      <c r="E16" s="130">
        <f>'Raw Score Check'!H15</f>
        <v>0</v>
      </c>
      <c r="F16" s="204">
        <v>0</v>
      </c>
      <c r="G16" s="204">
        <v>0</v>
      </c>
      <c r="H16" s="201">
        <v>1</v>
      </c>
      <c r="I16" s="205">
        <v>0</v>
      </c>
      <c r="K16" s="77">
        <v>12</v>
      </c>
      <c r="L16" s="81" t="s">
        <v>65</v>
      </c>
      <c r="M16" s="81" t="s">
        <v>66</v>
      </c>
      <c r="N16" s="92">
        <f>'Raw Score Check'!K15</f>
        <v>0</v>
      </c>
      <c r="O16" s="134">
        <v>0</v>
      </c>
      <c r="P16" s="134">
        <v>0</v>
      </c>
      <c r="Q16" s="134">
        <v>0</v>
      </c>
      <c r="R16" s="134">
        <v>0</v>
      </c>
      <c r="T16" s="77">
        <v>12</v>
      </c>
      <c r="U16" s="81" t="s">
        <v>71</v>
      </c>
      <c r="V16" s="81" t="s">
        <v>74</v>
      </c>
      <c r="W16" s="92">
        <f>'Raw Score Check'!N15</f>
        <v>0</v>
      </c>
      <c r="X16" s="201">
        <v>1</v>
      </c>
      <c r="Y16" s="154">
        <v>0</v>
      </c>
      <c r="AA16" s="77">
        <v>12</v>
      </c>
      <c r="AB16" s="81" t="s">
        <v>81</v>
      </c>
      <c r="AC16" s="81" t="s">
        <v>95</v>
      </c>
      <c r="AD16" s="93">
        <f>'Raw Score Check'!Q15</f>
        <v>0</v>
      </c>
      <c r="AE16" s="155">
        <v>0</v>
      </c>
      <c r="AF16" s="155">
        <v>0</v>
      </c>
    </row>
    <row r="17" spans="2:32" ht="90">
      <c r="B17" s="73">
        <v>13</v>
      </c>
      <c r="C17" s="81" t="s">
        <v>40</v>
      </c>
      <c r="D17" s="81" t="s">
        <v>46</v>
      </c>
      <c r="E17" s="203">
        <f>'Raw Score Check'!H16</f>
        <v>0</v>
      </c>
      <c r="F17" s="204">
        <v>1</v>
      </c>
      <c r="G17" s="204">
        <v>0</v>
      </c>
      <c r="H17" s="201">
        <v>1</v>
      </c>
      <c r="I17" s="205">
        <v>0</v>
      </c>
      <c r="K17" s="77">
        <v>13</v>
      </c>
      <c r="L17" s="81" t="s">
        <v>65</v>
      </c>
      <c r="M17" s="81" t="s">
        <v>66</v>
      </c>
      <c r="N17" s="92">
        <f>'Raw Score Check'!K16</f>
        <v>0</v>
      </c>
      <c r="O17" s="134">
        <v>0</v>
      </c>
      <c r="P17" s="134">
        <v>0</v>
      </c>
      <c r="Q17" s="134">
        <v>0</v>
      </c>
      <c r="R17" s="134">
        <v>0</v>
      </c>
      <c r="T17" s="77">
        <v>13</v>
      </c>
      <c r="U17" s="81" t="s">
        <v>81</v>
      </c>
      <c r="V17" s="81" t="s">
        <v>95</v>
      </c>
      <c r="W17" s="92">
        <f>'Raw Score Check'!N16</f>
        <v>0</v>
      </c>
      <c r="X17" s="154">
        <v>0</v>
      </c>
      <c r="Y17" s="154">
        <v>0</v>
      </c>
      <c r="AA17" s="77">
        <v>13</v>
      </c>
      <c r="AB17" s="81" t="s">
        <v>96</v>
      </c>
      <c r="AC17" s="81" t="s">
        <v>104</v>
      </c>
      <c r="AD17" s="93">
        <f>'Raw Score Check'!Q16</f>
        <v>0</v>
      </c>
      <c r="AE17" s="155">
        <v>0</v>
      </c>
      <c r="AF17" s="201">
        <v>1</v>
      </c>
    </row>
    <row r="18" spans="2:32" ht="60">
      <c r="B18" s="73">
        <v>14</v>
      </c>
      <c r="C18" s="81" t="s">
        <v>40</v>
      </c>
      <c r="D18" s="81" t="s">
        <v>44</v>
      </c>
      <c r="E18" s="130">
        <f>'Raw Score Check'!H17</f>
        <v>0</v>
      </c>
      <c r="F18" s="204">
        <v>0</v>
      </c>
      <c r="G18" s="204">
        <v>0</v>
      </c>
      <c r="H18" s="201">
        <v>1</v>
      </c>
      <c r="I18" s="202">
        <v>0</v>
      </c>
      <c r="K18" s="77">
        <v>14</v>
      </c>
      <c r="L18" s="81" t="s">
        <v>61</v>
      </c>
      <c r="M18" s="81" t="s">
        <v>64</v>
      </c>
      <c r="N18" s="92">
        <f>'Raw Score Check'!K17</f>
        <v>0</v>
      </c>
      <c r="O18" s="134">
        <v>1</v>
      </c>
      <c r="P18" s="134">
        <v>0</v>
      </c>
      <c r="Q18" s="134">
        <v>0</v>
      </c>
      <c r="R18" s="201">
        <v>1</v>
      </c>
      <c r="T18" s="77">
        <v>14</v>
      </c>
      <c r="U18" s="81" t="s">
        <v>107</v>
      </c>
      <c r="V18" s="81" t="s">
        <v>115</v>
      </c>
      <c r="W18" s="92">
        <f>'Raw Score Check'!N17</f>
        <v>0</v>
      </c>
      <c r="X18" s="154">
        <v>0</v>
      </c>
      <c r="Y18" s="154">
        <v>0</v>
      </c>
      <c r="AA18" s="77">
        <v>14</v>
      </c>
      <c r="AB18" s="81" t="s">
        <v>96</v>
      </c>
      <c r="AC18" s="81" t="s">
        <v>103</v>
      </c>
      <c r="AD18" s="93">
        <f>'Raw Score Check'!Q17</f>
        <v>0</v>
      </c>
      <c r="AE18" s="201">
        <v>1</v>
      </c>
      <c r="AF18" s="155">
        <v>0</v>
      </c>
    </row>
    <row r="19" spans="2:32" ht="90">
      <c r="B19" s="73">
        <v>15</v>
      </c>
      <c r="C19" s="81" t="s">
        <v>40</v>
      </c>
      <c r="D19" s="81" t="s">
        <v>42</v>
      </c>
      <c r="E19" s="203">
        <f>'Raw Score Check'!H18</f>
        <v>0</v>
      </c>
      <c r="F19" s="204">
        <v>0</v>
      </c>
      <c r="G19" s="204">
        <v>1</v>
      </c>
      <c r="H19" s="201">
        <v>1</v>
      </c>
      <c r="I19" s="205">
        <v>0</v>
      </c>
      <c r="K19" s="77">
        <v>15</v>
      </c>
      <c r="L19" s="81" t="s">
        <v>61</v>
      </c>
      <c r="M19" s="81" t="s">
        <v>64</v>
      </c>
      <c r="N19" s="92">
        <f>'Raw Score Check'!K18</f>
        <v>0</v>
      </c>
      <c r="O19" s="134">
        <v>0</v>
      </c>
      <c r="P19" s="134">
        <v>0</v>
      </c>
      <c r="Q19" s="134">
        <v>0</v>
      </c>
      <c r="R19" s="201">
        <v>1</v>
      </c>
      <c r="T19" s="77">
        <v>15</v>
      </c>
      <c r="U19" s="81" t="s">
        <v>81</v>
      </c>
      <c r="V19" s="81" t="s">
        <v>87</v>
      </c>
      <c r="W19" s="92">
        <f>'Raw Score Check'!N18</f>
        <v>0</v>
      </c>
      <c r="X19" s="154">
        <v>0</v>
      </c>
      <c r="Y19" s="154">
        <v>0</v>
      </c>
      <c r="AA19" s="77">
        <v>15</v>
      </c>
      <c r="AB19" s="81" t="s">
        <v>96</v>
      </c>
      <c r="AC19" s="81" t="s">
        <v>101</v>
      </c>
      <c r="AD19" s="93">
        <f>'Raw Score Check'!Q18</f>
        <v>0</v>
      </c>
      <c r="AE19" s="155">
        <v>0</v>
      </c>
      <c r="AF19" s="155">
        <v>0</v>
      </c>
    </row>
    <row r="20" spans="2:32" ht="45">
      <c r="B20" s="73">
        <v>16</v>
      </c>
      <c r="C20" s="81" t="s">
        <v>40</v>
      </c>
      <c r="D20" s="81" t="s">
        <v>41</v>
      </c>
      <c r="E20" s="130">
        <f>'Raw Score Check'!H19</f>
        <v>0</v>
      </c>
      <c r="F20" s="204">
        <v>0</v>
      </c>
      <c r="G20" s="204">
        <v>0</v>
      </c>
      <c r="H20" s="201">
        <v>1</v>
      </c>
      <c r="I20" s="205">
        <v>0</v>
      </c>
      <c r="K20" s="77">
        <v>16</v>
      </c>
      <c r="L20" s="81" t="s">
        <v>61</v>
      </c>
      <c r="M20" s="81" t="s">
        <v>64</v>
      </c>
      <c r="N20" s="92">
        <f>'Raw Score Check'!K19</f>
        <v>0</v>
      </c>
      <c r="O20" s="134">
        <v>1</v>
      </c>
      <c r="P20" s="134">
        <v>0</v>
      </c>
      <c r="Q20" s="134">
        <v>0</v>
      </c>
      <c r="R20" s="201">
        <v>1</v>
      </c>
      <c r="T20" s="77">
        <v>16</v>
      </c>
      <c r="U20" s="81" t="s">
        <v>107</v>
      </c>
      <c r="V20" s="81" t="s">
        <v>110</v>
      </c>
      <c r="W20" s="92">
        <f>'Raw Score Check'!N19</f>
        <v>0</v>
      </c>
      <c r="X20" s="154">
        <v>0</v>
      </c>
      <c r="Y20" s="154">
        <v>0</v>
      </c>
      <c r="AA20" s="77">
        <v>16</v>
      </c>
      <c r="AB20" s="81" t="s">
        <v>71</v>
      </c>
      <c r="AC20" s="81" t="s">
        <v>75</v>
      </c>
      <c r="AD20" s="93">
        <f>'Raw Score Check'!Q19</f>
        <v>0</v>
      </c>
      <c r="AE20" s="201">
        <v>1</v>
      </c>
      <c r="AF20" s="155">
        <v>0</v>
      </c>
    </row>
    <row r="21" spans="2:32" ht="45">
      <c r="B21" s="73">
        <v>17</v>
      </c>
      <c r="C21" s="81" t="s">
        <v>40</v>
      </c>
      <c r="D21" s="81" t="s">
        <v>42</v>
      </c>
      <c r="E21" s="203">
        <f>'Raw Score Check'!H20</f>
        <v>0</v>
      </c>
      <c r="F21" s="204">
        <v>0</v>
      </c>
      <c r="G21" s="204">
        <v>0</v>
      </c>
      <c r="H21" s="201">
        <v>1</v>
      </c>
      <c r="I21" s="202">
        <v>0</v>
      </c>
      <c r="K21" s="77">
        <v>17</v>
      </c>
      <c r="L21" s="81" t="s">
        <v>61</v>
      </c>
      <c r="M21" s="81" t="s">
        <v>64</v>
      </c>
      <c r="N21" s="92">
        <f>'Raw Score Check'!K20</f>
        <v>0</v>
      </c>
      <c r="O21" s="134">
        <v>0</v>
      </c>
      <c r="P21" s="134">
        <v>0</v>
      </c>
      <c r="Q21" s="134">
        <v>0</v>
      </c>
      <c r="R21" s="201">
        <v>1</v>
      </c>
      <c r="T21" s="77">
        <v>17</v>
      </c>
      <c r="U21" s="81" t="s">
        <v>107</v>
      </c>
      <c r="V21" s="81" t="s">
        <v>111</v>
      </c>
      <c r="W21" s="92">
        <f>'Raw Score Check'!N20</f>
        <v>0</v>
      </c>
      <c r="X21" s="154">
        <v>0</v>
      </c>
      <c r="Y21" s="154">
        <v>0</v>
      </c>
      <c r="AA21" s="77">
        <v>17</v>
      </c>
      <c r="AB21" s="81" t="s">
        <v>71</v>
      </c>
      <c r="AC21" s="81" t="s">
        <v>73</v>
      </c>
      <c r="AD21" s="93">
        <f>'Raw Score Check'!Q20</f>
        <v>0</v>
      </c>
      <c r="AE21" s="201">
        <v>1</v>
      </c>
      <c r="AF21" s="155">
        <v>0</v>
      </c>
    </row>
    <row r="22" spans="2:32" ht="90">
      <c r="B22" s="73">
        <v>18</v>
      </c>
      <c r="C22" s="81" t="s">
        <v>40</v>
      </c>
      <c r="D22" s="81" t="s">
        <v>46</v>
      </c>
      <c r="E22" s="130">
        <f>'Raw Score Check'!H21</f>
        <v>0</v>
      </c>
      <c r="F22" s="204">
        <v>1</v>
      </c>
      <c r="G22" s="204">
        <v>0</v>
      </c>
      <c r="H22" s="201">
        <v>1</v>
      </c>
      <c r="I22" s="205">
        <v>0</v>
      </c>
      <c r="K22" s="77">
        <v>18</v>
      </c>
      <c r="L22" s="81" t="s">
        <v>61</v>
      </c>
      <c r="M22" s="81" t="s">
        <v>62</v>
      </c>
      <c r="N22" s="92">
        <f>'Raw Score Check'!K21</f>
        <v>0</v>
      </c>
      <c r="O22" s="134">
        <v>0</v>
      </c>
      <c r="P22" s="134">
        <v>1</v>
      </c>
      <c r="Q22" s="134">
        <v>0</v>
      </c>
      <c r="R22" s="201">
        <v>1</v>
      </c>
      <c r="T22" s="77">
        <v>18</v>
      </c>
      <c r="U22" s="81" t="s">
        <v>81</v>
      </c>
      <c r="V22" s="81" t="s">
        <v>82</v>
      </c>
      <c r="W22" s="92">
        <f>'Raw Score Check'!N21</f>
        <v>0</v>
      </c>
      <c r="X22" s="154">
        <v>0</v>
      </c>
      <c r="Y22" s="154">
        <v>0</v>
      </c>
      <c r="AA22" s="77">
        <v>18</v>
      </c>
      <c r="AB22" s="81" t="s">
        <v>107</v>
      </c>
      <c r="AC22" s="81" t="s">
        <v>108</v>
      </c>
      <c r="AD22" s="93">
        <f>'Raw Score Check'!Q21</f>
        <v>0</v>
      </c>
      <c r="AE22" s="155">
        <v>0</v>
      </c>
      <c r="AF22" s="155">
        <v>0</v>
      </c>
    </row>
    <row r="23" spans="2:32" ht="45">
      <c r="B23" s="73">
        <v>19</v>
      </c>
      <c r="C23" s="81" t="s">
        <v>58</v>
      </c>
      <c r="D23" s="81" t="s">
        <v>60</v>
      </c>
      <c r="E23" s="203">
        <f>'Raw Score Check'!H22</f>
        <v>0</v>
      </c>
      <c r="F23" s="204">
        <v>0</v>
      </c>
      <c r="G23" s="204">
        <v>0</v>
      </c>
      <c r="H23" s="201">
        <v>1</v>
      </c>
      <c r="I23" s="205">
        <v>0</v>
      </c>
      <c r="K23" s="77">
        <v>19</v>
      </c>
      <c r="L23" s="81" t="s">
        <v>65</v>
      </c>
      <c r="M23" s="81" t="s">
        <v>66</v>
      </c>
      <c r="N23" s="92">
        <f>'Raw Score Check'!K22</f>
        <v>0</v>
      </c>
      <c r="O23" s="134">
        <v>0</v>
      </c>
      <c r="P23" s="134">
        <v>0</v>
      </c>
      <c r="Q23" s="134">
        <v>0</v>
      </c>
      <c r="R23" s="134">
        <v>0</v>
      </c>
      <c r="T23" s="77">
        <v>19</v>
      </c>
      <c r="U23" s="81" t="s">
        <v>71</v>
      </c>
      <c r="V23" s="81" t="s">
        <v>79</v>
      </c>
      <c r="W23" s="92">
        <f>'Raw Score Check'!N22</f>
        <v>0</v>
      </c>
      <c r="X23" s="154">
        <v>0</v>
      </c>
      <c r="Y23" s="154">
        <v>0</v>
      </c>
      <c r="AA23" s="77">
        <v>19</v>
      </c>
      <c r="AB23" s="81" t="s">
        <v>71</v>
      </c>
      <c r="AC23" s="81" t="s">
        <v>75</v>
      </c>
      <c r="AD23" s="93">
        <f>'Raw Score Check'!Q22</f>
        <v>0</v>
      </c>
      <c r="AE23" s="155">
        <v>0</v>
      </c>
      <c r="AF23" s="155">
        <v>0</v>
      </c>
    </row>
    <row r="24" spans="2:32" ht="60.75" thickBot="1">
      <c r="B24" s="73">
        <v>20</v>
      </c>
      <c r="C24" s="81" t="s">
        <v>58</v>
      </c>
      <c r="D24" s="81" t="s">
        <v>60</v>
      </c>
      <c r="E24" s="130">
        <f>'Raw Score Check'!H23</f>
        <v>0</v>
      </c>
      <c r="F24" s="204">
        <v>0</v>
      </c>
      <c r="G24" s="204">
        <v>1</v>
      </c>
      <c r="H24" s="201">
        <v>1</v>
      </c>
      <c r="I24" s="202">
        <v>0</v>
      </c>
      <c r="K24" s="77">
        <v>20</v>
      </c>
      <c r="L24" s="81" t="s">
        <v>61</v>
      </c>
      <c r="M24" s="81" t="s">
        <v>62</v>
      </c>
      <c r="N24" s="92">
        <f>'Raw Score Check'!K23</f>
        <v>0</v>
      </c>
      <c r="O24" s="134">
        <v>0</v>
      </c>
      <c r="P24" s="134">
        <v>1</v>
      </c>
      <c r="Q24" s="134">
        <v>0</v>
      </c>
      <c r="R24" s="201">
        <v>1</v>
      </c>
      <c r="T24" s="78">
        <v>20</v>
      </c>
      <c r="U24" s="81" t="s">
        <v>71</v>
      </c>
      <c r="V24" s="81" t="s">
        <v>74</v>
      </c>
      <c r="W24" s="92">
        <f>'Raw Score Check'!N23</f>
        <v>0</v>
      </c>
      <c r="X24" s="154">
        <v>0</v>
      </c>
      <c r="Y24" s="201">
        <v>1</v>
      </c>
      <c r="AA24" s="77">
        <v>20</v>
      </c>
      <c r="AB24" s="81" t="s">
        <v>96</v>
      </c>
      <c r="AC24" s="81" t="s">
        <v>106</v>
      </c>
      <c r="AD24" s="93">
        <f>'Raw Score Check'!Q23</f>
        <v>0</v>
      </c>
      <c r="AE24" s="155">
        <v>0</v>
      </c>
      <c r="AF24" s="155">
        <v>0</v>
      </c>
    </row>
    <row r="25" spans="2:32" ht="60">
      <c r="B25" s="73">
        <v>21</v>
      </c>
      <c r="C25" s="81" t="s">
        <v>58</v>
      </c>
      <c r="D25" s="81" t="s">
        <v>60</v>
      </c>
      <c r="E25" s="203">
        <f>'Raw Score Check'!H24</f>
        <v>0</v>
      </c>
      <c r="F25" s="204">
        <v>0</v>
      </c>
      <c r="G25" s="204">
        <v>0</v>
      </c>
      <c r="H25" s="201">
        <v>1</v>
      </c>
      <c r="I25" s="205">
        <v>0</v>
      </c>
      <c r="K25" s="77">
        <v>21</v>
      </c>
      <c r="L25" s="81" t="s">
        <v>65</v>
      </c>
      <c r="M25" s="81" t="s">
        <v>67</v>
      </c>
      <c r="N25" s="92">
        <f>'Raw Score Check'!K24</f>
        <v>0</v>
      </c>
      <c r="O25" s="134">
        <v>0</v>
      </c>
      <c r="P25" s="134">
        <v>0</v>
      </c>
      <c r="Q25" s="134">
        <v>0</v>
      </c>
      <c r="R25" s="134">
        <v>0</v>
      </c>
      <c r="U25" s="81"/>
      <c r="V25" s="81"/>
      <c r="W25" s="92"/>
      <c r="X25" s="81"/>
      <c r="Y25" s="81"/>
      <c r="AA25" s="77">
        <v>21</v>
      </c>
      <c r="AB25" s="81" t="s">
        <v>96</v>
      </c>
      <c r="AC25" s="81" t="s">
        <v>101</v>
      </c>
      <c r="AD25" s="93">
        <f>'Raw Score Check'!Q24</f>
        <v>0</v>
      </c>
      <c r="AE25" s="155">
        <v>0</v>
      </c>
      <c r="AF25" s="201">
        <v>1</v>
      </c>
    </row>
    <row r="26" spans="2:32" ht="60">
      <c r="B26" s="73">
        <v>22</v>
      </c>
      <c r="C26" s="81" t="s">
        <v>52</v>
      </c>
      <c r="D26" s="81" t="s">
        <v>56</v>
      </c>
      <c r="E26" s="130">
        <f>'Raw Score Check'!H25</f>
        <v>0</v>
      </c>
      <c r="F26" s="204">
        <v>0</v>
      </c>
      <c r="G26" s="204">
        <v>0</v>
      </c>
      <c r="H26" s="201">
        <v>0</v>
      </c>
      <c r="I26" s="201">
        <v>1</v>
      </c>
      <c r="K26" s="77">
        <v>22</v>
      </c>
      <c r="L26" s="81" t="s">
        <v>65</v>
      </c>
      <c r="M26" s="81" t="s">
        <v>68</v>
      </c>
      <c r="N26" s="92">
        <f>'Raw Score Check'!K25</f>
        <v>0</v>
      </c>
      <c r="O26" s="134">
        <v>0</v>
      </c>
      <c r="P26" s="134">
        <v>0</v>
      </c>
      <c r="Q26" s="134">
        <v>0</v>
      </c>
      <c r="R26" s="134">
        <v>0</v>
      </c>
      <c r="U26" s="81"/>
      <c r="V26" s="81"/>
      <c r="W26" s="92"/>
      <c r="X26" s="81"/>
      <c r="Y26" s="81"/>
      <c r="AA26" s="77">
        <v>22</v>
      </c>
      <c r="AB26" s="81" t="s">
        <v>96</v>
      </c>
      <c r="AC26" s="81" t="s">
        <v>98</v>
      </c>
      <c r="AD26" s="93">
        <f>'Raw Score Check'!Q25</f>
        <v>0</v>
      </c>
      <c r="AE26" s="155">
        <v>0</v>
      </c>
      <c r="AF26" s="201">
        <v>1</v>
      </c>
    </row>
    <row r="27" spans="2:32" ht="60">
      <c r="B27" s="73">
        <v>23</v>
      </c>
      <c r="C27" s="81" t="s">
        <v>52</v>
      </c>
      <c r="D27" s="81" t="s">
        <v>53</v>
      </c>
      <c r="E27" s="203">
        <f>'Raw Score Check'!H26</f>
        <v>0</v>
      </c>
      <c r="F27" s="204">
        <v>0</v>
      </c>
      <c r="G27" s="204">
        <v>0</v>
      </c>
      <c r="H27" s="204">
        <v>0</v>
      </c>
      <c r="I27" s="201">
        <v>1</v>
      </c>
      <c r="K27" s="77">
        <v>23</v>
      </c>
      <c r="L27" s="81" t="s">
        <v>61</v>
      </c>
      <c r="M27" s="81" t="s">
        <v>64</v>
      </c>
      <c r="N27" s="92">
        <f>'Raw Score Check'!K26</f>
        <v>0</v>
      </c>
      <c r="O27" s="134">
        <v>1</v>
      </c>
      <c r="P27" s="134">
        <v>0</v>
      </c>
      <c r="Q27" s="201">
        <v>1</v>
      </c>
      <c r="R27" s="134">
        <v>0</v>
      </c>
      <c r="U27" s="81"/>
      <c r="V27" s="81"/>
      <c r="W27" s="92"/>
      <c r="X27" s="81"/>
      <c r="Y27" s="81"/>
      <c r="AA27" s="77">
        <v>23</v>
      </c>
      <c r="AB27" s="81" t="s">
        <v>96</v>
      </c>
      <c r="AC27" s="81" t="s">
        <v>104</v>
      </c>
      <c r="AD27" s="93">
        <f>'Raw Score Check'!Q26</f>
        <v>0</v>
      </c>
      <c r="AE27" s="155">
        <v>0</v>
      </c>
      <c r="AF27" s="155">
        <v>0</v>
      </c>
    </row>
    <row r="28" spans="2:32" ht="60">
      <c r="B28" s="73">
        <v>24</v>
      </c>
      <c r="C28" s="81" t="s">
        <v>40</v>
      </c>
      <c r="D28" s="81" t="s">
        <v>46</v>
      </c>
      <c r="E28" s="130">
        <f>'Raw Score Check'!H27</f>
        <v>0</v>
      </c>
      <c r="F28" s="204">
        <v>1</v>
      </c>
      <c r="G28" s="204">
        <v>0</v>
      </c>
      <c r="H28" s="201">
        <v>0</v>
      </c>
      <c r="I28" s="201">
        <v>1</v>
      </c>
      <c r="K28" s="77">
        <v>24</v>
      </c>
      <c r="L28" s="81" t="s">
        <v>65</v>
      </c>
      <c r="M28" s="81" t="s">
        <v>66</v>
      </c>
      <c r="N28" s="92">
        <f>'Raw Score Check'!K27</f>
        <v>0</v>
      </c>
      <c r="O28" s="134">
        <v>0</v>
      </c>
      <c r="P28" s="134">
        <v>0</v>
      </c>
      <c r="Q28" s="134">
        <v>0</v>
      </c>
      <c r="R28" s="134">
        <v>0</v>
      </c>
      <c r="U28" s="81"/>
      <c r="V28" s="81"/>
      <c r="W28" s="92"/>
      <c r="X28" s="81"/>
      <c r="Y28" s="81"/>
      <c r="AA28" s="77">
        <v>24</v>
      </c>
      <c r="AB28" s="81" t="s">
        <v>107</v>
      </c>
      <c r="AC28" s="81" t="s">
        <v>113</v>
      </c>
      <c r="AD28" s="93">
        <f>'Raw Score Check'!Q27</f>
        <v>0</v>
      </c>
      <c r="AE28" s="155">
        <v>0</v>
      </c>
      <c r="AF28" s="155">
        <v>0</v>
      </c>
    </row>
    <row r="29" spans="2:32" ht="90">
      <c r="B29" s="73">
        <v>25</v>
      </c>
      <c r="C29" s="81" t="s">
        <v>52</v>
      </c>
      <c r="D29" s="81" t="s">
        <v>57</v>
      </c>
      <c r="E29" s="203">
        <f>'Raw Score Check'!H28</f>
        <v>0</v>
      </c>
      <c r="F29" s="204">
        <v>0</v>
      </c>
      <c r="G29" s="204">
        <v>0</v>
      </c>
      <c r="H29" s="204">
        <v>0</v>
      </c>
      <c r="I29" s="201">
        <v>1</v>
      </c>
      <c r="K29" s="77">
        <v>25</v>
      </c>
      <c r="L29" s="81" t="s">
        <v>61</v>
      </c>
      <c r="M29" s="81" t="s">
        <v>62</v>
      </c>
      <c r="N29" s="92">
        <f>'Raw Score Check'!K28</f>
        <v>0</v>
      </c>
      <c r="O29" s="134">
        <v>0</v>
      </c>
      <c r="P29" s="134">
        <v>1</v>
      </c>
      <c r="Q29" s="201">
        <v>1</v>
      </c>
      <c r="R29" s="134">
        <v>0</v>
      </c>
      <c r="U29" s="81"/>
      <c r="V29" s="81"/>
      <c r="W29" s="92"/>
      <c r="X29" s="81"/>
      <c r="Y29" s="81"/>
      <c r="AA29" s="77">
        <v>25</v>
      </c>
      <c r="AB29" s="81" t="s">
        <v>81</v>
      </c>
      <c r="AC29" s="81" t="s">
        <v>89</v>
      </c>
      <c r="AD29" s="93">
        <f>'Raw Score Check'!Q28</f>
        <v>0</v>
      </c>
      <c r="AE29" s="155">
        <v>0</v>
      </c>
      <c r="AF29" s="155">
        <v>0</v>
      </c>
    </row>
    <row r="30" spans="2:32" ht="30">
      <c r="B30" s="73">
        <v>26</v>
      </c>
      <c r="C30" s="81" t="s">
        <v>40</v>
      </c>
      <c r="D30" s="81" t="s">
        <v>42</v>
      </c>
      <c r="E30" s="130">
        <f>'Raw Score Check'!H29</f>
        <v>0</v>
      </c>
      <c r="F30" s="204">
        <v>0</v>
      </c>
      <c r="G30" s="204">
        <v>0</v>
      </c>
      <c r="H30" s="201">
        <v>0</v>
      </c>
      <c r="I30" s="201">
        <v>1</v>
      </c>
      <c r="K30" s="77">
        <v>26</v>
      </c>
      <c r="L30" s="81" t="s">
        <v>61</v>
      </c>
      <c r="M30" s="81" t="s">
        <v>64</v>
      </c>
      <c r="N30" s="92">
        <f>'Raw Score Check'!K29</f>
        <v>0</v>
      </c>
      <c r="O30" s="134">
        <v>1</v>
      </c>
      <c r="P30" s="134">
        <v>0</v>
      </c>
      <c r="Q30" s="201">
        <v>1</v>
      </c>
      <c r="R30" s="134">
        <v>0</v>
      </c>
      <c r="U30" s="81"/>
      <c r="V30" s="81"/>
      <c r="W30" s="92"/>
      <c r="X30" s="81"/>
      <c r="Y30" s="81"/>
      <c r="AA30" s="77">
        <v>26</v>
      </c>
      <c r="AB30" s="81" t="s">
        <v>71</v>
      </c>
      <c r="AC30" s="81" t="s">
        <v>73</v>
      </c>
      <c r="AD30" s="93">
        <f>'Raw Score Check'!Q29</f>
        <v>0</v>
      </c>
      <c r="AE30" s="155">
        <v>0</v>
      </c>
      <c r="AF30" s="155">
        <v>0</v>
      </c>
    </row>
    <row r="31" spans="2:32" ht="60">
      <c r="B31" s="73">
        <v>27</v>
      </c>
      <c r="C31" s="81" t="s">
        <v>40</v>
      </c>
      <c r="D31" s="81" t="s">
        <v>41</v>
      </c>
      <c r="E31" s="203">
        <f>'Raw Score Check'!H30</f>
        <v>0</v>
      </c>
      <c r="F31" s="204">
        <v>0</v>
      </c>
      <c r="G31" s="204">
        <v>0</v>
      </c>
      <c r="H31" s="204">
        <v>0</v>
      </c>
      <c r="I31" s="201">
        <v>1</v>
      </c>
      <c r="K31" s="77">
        <v>27</v>
      </c>
      <c r="L31" s="81" t="s">
        <v>61</v>
      </c>
      <c r="M31" s="81" t="s">
        <v>63</v>
      </c>
      <c r="N31" s="92">
        <f>'Raw Score Check'!K30</f>
        <v>0</v>
      </c>
      <c r="O31" s="134">
        <v>0</v>
      </c>
      <c r="P31" s="134">
        <v>0</v>
      </c>
      <c r="Q31" s="201">
        <v>1</v>
      </c>
      <c r="R31" s="134">
        <v>0</v>
      </c>
      <c r="U31" s="81"/>
      <c r="V31" s="81"/>
      <c r="W31" s="92"/>
      <c r="X31" s="81"/>
      <c r="Y31" s="81"/>
      <c r="AA31" s="77">
        <v>27</v>
      </c>
      <c r="AB31" s="81" t="s">
        <v>96</v>
      </c>
      <c r="AC31" s="81" t="s">
        <v>101</v>
      </c>
      <c r="AD31" s="93">
        <f>'Raw Score Check'!Q30</f>
        <v>0</v>
      </c>
      <c r="AE31" s="201">
        <v>1</v>
      </c>
      <c r="AF31" s="155">
        <v>0</v>
      </c>
    </row>
    <row r="32" spans="2:32" ht="90">
      <c r="B32" s="73">
        <v>28</v>
      </c>
      <c r="C32" s="81" t="s">
        <v>40</v>
      </c>
      <c r="D32" s="81" t="s">
        <v>42</v>
      </c>
      <c r="E32" s="130">
        <f>'Raw Score Check'!H31</f>
        <v>0</v>
      </c>
      <c r="F32" s="204">
        <v>0</v>
      </c>
      <c r="G32" s="204">
        <v>1</v>
      </c>
      <c r="H32" s="204">
        <v>0</v>
      </c>
      <c r="I32" s="201">
        <v>1</v>
      </c>
      <c r="K32" s="77">
        <v>28</v>
      </c>
      <c r="L32" s="81" t="s">
        <v>65</v>
      </c>
      <c r="M32" s="81" t="s">
        <v>67</v>
      </c>
      <c r="N32" s="92">
        <f>'Raw Score Check'!K31</f>
        <v>0</v>
      </c>
      <c r="O32" s="134">
        <v>0</v>
      </c>
      <c r="P32" s="134">
        <v>0</v>
      </c>
      <c r="Q32" s="134">
        <v>0</v>
      </c>
      <c r="R32" s="134">
        <v>0</v>
      </c>
      <c r="U32" s="81"/>
      <c r="V32" s="81"/>
      <c r="W32" s="92"/>
      <c r="X32" s="81"/>
      <c r="Y32" s="81"/>
      <c r="AA32" s="77">
        <v>28</v>
      </c>
      <c r="AB32" s="81" t="s">
        <v>81</v>
      </c>
      <c r="AC32" s="81" t="s">
        <v>93</v>
      </c>
      <c r="AD32" s="93">
        <f>'Raw Score Check'!Q31</f>
        <v>0</v>
      </c>
      <c r="AE32" s="155">
        <v>0</v>
      </c>
      <c r="AF32" s="155">
        <v>0</v>
      </c>
    </row>
    <row r="33" spans="2:32" ht="30">
      <c r="B33" s="73">
        <v>29</v>
      </c>
      <c r="C33" s="81" t="s">
        <v>40</v>
      </c>
      <c r="D33" s="81" t="s">
        <v>41</v>
      </c>
      <c r="E33" s="203">
        <f>'Raw Score Check'!H32</f>
        <v>0</v>
      </c>
      <c r="F33" s="204">
        <v>0</v>
      </c>
      <c r="G33" s="204">
        <v>0</v>
      </c>
      <c r="H33" s="201">
        <v>0</v>
      </c>
      <c r="I33" s="201">
        <v>1</v>
      </c>
      <c r="K33" s="77">
        <v>29</v>
      </c>
      <c r="L33" s="81" t="s">
        <v>65</v>
      </c>
      <c r="M33" s="81" t="s">
        <v>68</v>
      </c>
      <c r="N33" s="92">
        <f>'Raw Score Check'!K32</f>
        <v>0</v>
      </c>
      <c r="O33" s="134">
        <v>0</v>
      </c>
      <c r="P33" s="134">
        <v>0</v>
      </c>
      <c r="Q33" s="134">
        <v>0</v>
      </c>
      <c r="R33" s="134">
        <v>0</v>
      </c>
      <c r="U33" s="81"/>
      <c r="V33" s="81"/>
      <c r="W33" s="92"/>
      <c r="X33" s="81"/>
      <c r="Y33" s="81"/>
      <c r="AA33" s="77">
        <v>29</v>
      </c>
      <c r="AB33" s="81" t="s">
        <v>71</v>
      </c>
      <c r="AC33" s="81" t="s">
        <v>77</v>
      </c>
      <c r="AD33" s="93">
        <f>'Raw Score Check'!Q32</f>
        <v>0</v>
      </c>
      <c r="AE33" s="155">
        <v>0</v>
      </c>
      <c r="AF33" s="155">
        <v>0</v>
      </c>
    </row>
    <row r="34" spans="2:32" ht="90">
      <c r="B34" s="73">
        <v>30</v>
      </c>
      <c r="C34" s="81" t="s">
        <v>52</v>
      </c>
      <c r="D34" s="81" t="s">
        <v>56</v>
      </c>
      <c r="E34" s="130">
        <f>'Raw Score Check'!H33</f>
        <v>0</v>
      </c>
      <c r="F34" s="204">
        <v>0</v>
      </c>
      <c r="G34" s="204">
        <v>0</v>
      </c>
      <c r="H34" s="204">
        <v>0</v>
      </c>
      <c r="I34" s="201">
        <v>1</v>
      </c>
      <c r="K34" s="77">
        <v>30</v>
      </c>
      <c r="L34" s="81" t="s">
        <v>65</v>
      </c>
      <c r="M34" s="81" t="s">
        <v>67</v>
      </c>
      <c r="N34" s="92">
        <f>'Raw Score Check'!K33</f>
        <v>0</v>
      </c>
      <c r="O34" s="134">
        <v>0</v>
      </c>
      <c r="P34" s="134">
        <v>0</v>
      </c>
      <c r="Q34" s="134">
        <v>0</v>
      </c>
      <c r="R34" s="134">
        <v>0</v>
      </c>
      <c r="U34" s="81"/>
      <c r="V34" s="81"/>
      <c r="W34" s="92"/>
      <c r="X34" s="81"/>
      <c r="Y34" s="81"/>
      <c r="AA34" s="77">
        <v>30</v>
      </c>
      <c r="AB34" s="81" t="s">
        <v>81</v>
      </c>
      <c r="AC34" s="81" t="s">
        <v>90</v>
      </c>
      <c r="AD34" s="93">
        <f>'Raw Score Check'!Q33</f>
        <v>0</v>
      </c>
      <c r="AE34" s="155">
        <v>0</v>
      </c>
      <c r="AF34" s="155">
        <v>0</v>
      </c>
    </row>
    <row r="35" spans="2:32" ht="60">
      <c r="B35" s="73">
        <v>31</v>
      </c>
      <c r="C35" s="81" t="s">
        <v>52</v>
      </c>
      <c r="D35" s="81" t="s">
        <v>53</v>
      </c>
      <c r="E35" s="203">
        <f>'Raw Score Check'!H34</f>
        <v>0</v>
      </c>
      <c r="F35" s="204">
        <v>1</v>
      </c>
      <c r="G35" s="204">
        <v>0</v>
      </c>
      <c r="H35" s="201">
        <v>0</v>
      </c>
      <c r="I35" s="201">
        <v>1</v>
      </c>
      <c r="K35" s="77">
        <v>31</v>
      </c>
      <c r="L35" s="81" t="s">
        <v>61</v>
      </c>
      <c r="M35" s="81" t="s">
        <v>62</v>
      </c>
      <c r="N35" s="92">
        <f>'Raw Score Check'!K34</f>
        <v>0</v>
      </c>
      <c r="O35" s="134">
        <v>0</v>
      </c>
      <c r="P35" s="134">
        <v>1</v>
      </c>
      <c r="Q35" s="201">
        <v>1</v>
      </c>
      <c r="R35" s="134">
        <v>0</v>
      </c>
      <c r="U35" s="81"/>
      <c r="V35" s="81"/>
      <c r="W35" s="92"/>
      <c r="X35" s="81"/>
      <c r="Y35" s="81"/>
      <c r="AA35" s="77">
        <v>31</v>
      </c>
      <c r="AB35" s="81" t="s">
        <v>96</v>
      </c>
      <c r="AC35" s="81" t="s">
        <v>103</v>
      </c>
      <c r="AD35" s="93">
        <f>'Raw Score Check'!Q34</f>
        <v>0</v>
      </c>
      <c r="AE35" s="155">
        <v>0</v>
      </c>
      <c r="AF35" s="155">
        <v>0</v>
      </c>
    </row>
    <row r="36" spans="2:32" ht="30">
      <c r="B36" s="73">
        <v>32</v>
      </c>
      <c r="C36" s="81" t="s">
        <v>40</v>
      </c>
      <c r="D36" s="81" t="s">
        <v>41</v>
      </c>
      <c r="E36" s="130">
        <f>'Raw Score Check'!H35</f>
        <v>0</v>
      </c>
      <c r="F36" s="204">
        <v>0</v>
      </c>
      <c r="G36" s="204">
        <v>0</v>
      </c>
      <c r="H36" s="201">
        <v>1</v>
      </c>
      <c r="I36" s="202">
        <v>0</v>
      </c>
      <c r="K36" s="77">
        <v>32</v>
      </c>
      <c r="L36" s="81" t="s">
        <v>65</v>
      </c>
      <c r="M36" s="81" t="s">
        <v>67</v>
      </c>
      <c r="N36" s="92">
        <f>'Raw Score Check'!K35</f>
        <v>0</v>
      </c>
      <c r="O36" s="134">
        <v>0</v>
      </c>
      <c r="P36" s="134">
        <v>0</v>
      </c>
      <c r="Q36" s="134">
        <v>0</v>
      </c>
      <c r="R36" s="134">
        <v>0</v>
      </c>
      <c r="U36" s="81"/>
      <c r="V36" s="81"/>
      <c r="W36" s="92"/>
      <c r="X36" s="81"/>
      <c r="Y36" s="81"/>
      <c r="AA36" s="77">
        <v>32</v>
      </c>
      <c r="AB36" s="81" t="s">
        <v>71</v>
      </c>
      <c r="AC36" s="81" t="s">
        <v>77</v>
      </c>
      <c r="AD36" s="93">
        <f>'Raw Score Check'!Q35</f>
        <v>0</v>
      </c>
      <c r="AE36" s="155">
        <v>0</v>
      </c>
      <c r="AF36" s="201">
        <v>1</v>
      </c>
    </row>
    <row r="37" spans="2:32" ht="60">
      <c r="B37" s="73">
        <v>33</v>
      </c>
      <c r="C37" s="81" t="s">
        <v>40</v>
      </c>
      <c r="D37" s="81" t="s">
        <v>46</v>
      </c>
      <c r="E37" s="203">
        <f>'Raw Score Check'!H36</f>
        <v>0</v>
      </c>
      <c r="F37" s="204">
        <v>1</v>
      </c>
      <c r="G37" s="204">
        <v>0</v>
      </c>
      <c r="H37" s="201">
        <v>1</v>
      </c>
      <c r="I37" s="205">
        <v>0</v>
      </c>
      <c r="K37" s="77">
        <v>33</v>
      </c>
      <c r="L37" s="81" t="s">
        <v>61</v>
      </c>
      <c r="M37" s="81" t="s">
        <v>62</v>
      </c>
      <c r="N37" s="92">
        <f>'Raw Score Check'!K36</f>
        <v>0</v>
      </c>
      <c r="O37" s="134">
        <v>0</v>
      </c>
      <c r="P37" s="134">
        <v>0</v>
      </c>
      <c r="Q37" s="201">
        <v>1</v>
      </c>
      <c r="R37" s="134">
        <v>0</v>
      </c>
      <c r="U37" s="81"/>
      <c r="V37" s="81"/>
      <c r="W37" s="92"/>
      <c r="X37" s="81"/>
      <c r="Y37" s="81"/>
      <c r="AA37" s="77">
        <v>33</v>
      </c>
      <c r="AB37" s="81" t="s">
        <v>96</v>
      </c>
      <c r="AC37" s="81" t="s">
        <v>99</v>
      </c>
      <c r="AD37" s="93">
        <f>'Raw Score Check'!Q36</f>
        <v>0</v>
      </c>
      <c r="AE37" s="201">
        <v>1</v>
      </c>
      <c r="AF37" s="155">
        <v>0</v>
      </c>
    </row>
    <row r="38" spans="2:32" ht="60">
      <c r="B38" s="73">
        <v>34</v>
      </c>
      <c r="C38" s="81" t="s">
        <v>40</v>
      </c>
      <c r="D38" s="81" t="s">
        <v>46</v>
      </c>
      <c r="E38" s="130">
        <f>'Raw Score Check'!H37</f>
        <v>0</v>
      </c>
      <c r="F38" s="204">
        <v>1</v>
      </c>
      <c r="G38" s="204">
        <v>0</v>
      </c>
      <c r="H38" s="201">
        <v>1</v>
      </c>
      <c r="I38" s="205">
        <v>0</v>
      </c>
      <c r="K38" s="77">
        <v>34</v>
      </c>
      <c r="L38" s="81" t="s">
        <v>65</v>
      </c>
      <c r="M38" s="81" t="s">
        <v>67</v>
      </c>
      <c r="N38" s="92">
        <f>'Raw Score Check'!K37</f>
        <v>0</v>
      </c>
      <c r="O38" s="134">
        <v>0</v>
      </c>
      <c r="P38" s="134">
        <v>0</v>
      </c>
      <c r="Q38" s="134">
        <v>0</v>
      </c>
      <c r="R38" s="134">
        <v>0</v>
      </c>
      <c r="U38" s="81"/>
      <c r="V38" s="81"/>
      <c r="W38" s="92"/>
      <c r="X38" s="81"/>
      <c r="Y38" s="81"/>
      <c r="AA38" s="77">
        <v>34</v>
      </c>
      <c r="AB38" s="81" t="s">
        <v>71</v>
      </c>
      <c r="AC38" s="81" t="s">
        <v>74</v>
      </c>
      <c r="AD38" s="93">
        <f>'Raw Score Check'!Q37</f>
        <v>0</v>
      </c>
      <c r="AE38" s="155">
        <v>0</v>
      </c>
      <c r="AF38" s="155">
        <v>0</v>
      </c>
    </row>
    <row r="39" spans="2:32" ht="90">
      <c r="B39" s="73">
        <v>35</v>
      </c>
      <c r="C39" s="81" t="s">
        <v>52</v>
      </c>
      <c r="D39" s="81" t="s">
        <v>55</v>
      </c>
      <c r="E39" s="203">
        <f>'Raw Score Check'!H38</f>
        <v>0</v>
      </c>
      <c r="F39" s="204">
        <v>0</v>
      </c>
      <c r="G39" s="204">
        <v>0</v>
      </c>
      <c r="H39" s="201">
        <v>1</v>
      </c>
      <c r="I39" s="202">
        <v>0</v>
      </c>
      <c r="K39" s="77">
        <v>35</v>
      </c>
      <c r="L39" s="81" t="s">
        <v>65</v>
      </c>
      <c r="M39" s="81" t="s">
        <v>68</v>
      </c>
      <c r="N39" s="92">
        <f>'Raw Score Check'!K38</f>
        <v>0</v>
      </c>
      <c r="O39" s="134">
        <v>0</v>
      </c>
      <c r="P39" s="134">
        <v>0</v>
      </c>
      <c r="Q39" s="134">
        <v>0</v>
      </c>
      <c r="R39" s="134">
        <v>0</v>
      </c>
      <c r="U39" s="81"/>
      <c r="V39" s="81"/>
      <c r="W39" s="92"/>
      <c r="X39" s="81"/>
      <c r="Y39" s="81"/>
      <c r="AA39" s="77">
        <v>35</v>
      </c>
      <c r="AB39" s="81" t="s">
        <v>81</v>
      </c>
      <c r="AC39" s="81" t="s">
        <v>84</v>
      </c>
      <c r="AD39" s="93">
        <f>'Raw Score Check'!Q38</f>
        <v>0</v>
      </c>
      <c r="AE39" s="155">
        <v>0</v>
      </c>
      <c r="AF39" s="155">
        <v>0</v>
      </c>
    </row>
    <row r="40" spans="2:32" ht="45">
      <c r="B40" s="73">
        <v>36</v>
      </c>
      <c r="C40" s="81" t="s">
        <v>58</v>
      </c>
      <c r="D40" s="81" t="s">
        <v>59</v>
      </c>
      <c r="E40" s="130">
        <f>'Raw Score Check'!H39</f>
        <v>0</v>
      </c>
      <c r="F40" s="204">
        <v>0</v>
      </c>
      <c r="G40" s="204">
        <v>0</v>
      </c>
      <c r="H40" s="201">
        <v>1</v>
      </c>
      <c r="I40" s="205">
        <v>0</v>
      </c>
      <c r="K40" s="77">
        <v>36</v>
      </c>
      <c r="L40" s="81" t="s">
        <v>65</v>
      </c>
      <c r="M40" s="81" t="s">
        <v>68</v>
      </c>
      <c r="N40" s="92">
        <f>'Raw Score Check'!K39</f>
        <v>0</v>
      </c>
      <c r="O40" s="134">
        <v>0</v>
      </c>
      <c r="P40" s="134">
        <v>0</v>
      </c>
      <c r="Q40" s="134">
        <v>0</v>
      </c>
      <c r="R40" s="134">
        <v>0</v>
      </c>
      <c r="U40" s="81"/>
      <c r="V40" s="81"/>
      <c r="W40" s="92"/>
      <c r="X40" s="81"/>
      <c r="Y40" s="81"/>
      <c r="AA40" s="77">
        <v>36</v>
      </c>
      <c r="AB40" s="81" t="s">
        <v>107</v>
      </c>
      <c r="AC40" s="81" t="s">
        <v>112</v>
      </c>
      <c r="AD40" s="93">
        <f>'Raw Score Check'!Q39</f>
        <v>0</v>
      </c>
      <c r="AE40" s="155">
        <v>0</v>
      </c>
      <c r="AF40" s="155">
        <v>0</v>
      </c>
    </row>
    <row r="41" spans="2:32" ht="90">
      <c r="B41" s="73">
        <v>37</v>
      </c>
      <c r="C41" s="81" t="s">
        <v>40</v>
      </c>
      <c r="D41" s="81" t="s">
        <v>42</v>
      </c>
      <c r="E41" s="203">
        <f>'Raw Score Check'!H40</f>
        <v>0</v>
      </c>
      <c r="F41" s="204">
        <v>0</v>
      </c>
      <c r="G41" s="204">
        <v>0</v>
      </c>
      <c r="H41" s="201">
        <v>1</v>
      </c>
      <c r="I41" s="205">
        <v>0</v>
      </c>
      <c r="K41" s="77">
        <v>37</v>
      </c>
      <c r="L41" s="81" t="s">
        <v>61</v>
      </c>
      <c r="M41" s="81" t="s">
        <v>62</v>
      </c>
      <c r="N41" s="92">
        <f>'Raw Score Check'!K40</f>
        <v>0</v>
      </c>
      <c r="O41" s="134">
        <v>0</v>
      </c>
      <c r="P41" s="134">
        <v>1</v>
      </c>
      <c r="Q41" s="134">
        <v>0</v>
      </c>
      <c r="R41" s="134">
        <v>0</v>
      </c>
      <c r="U41" s="81"/>
      <c r="V41" s="81"/>
      <c r="W41" s="92"/>
      <c r="X41" s="81"/>
      <c r="Y41" s="81"/>
      <c r="AA41" s="77">
        <v>37</v>
      </c>
      <c r="AB41" s="81" t="s">
        <v>81</v>
      </c>
      <c r="AC41" s="81" t="s">
        <v>84</v>
      </c>
      <c r="AD41" s="93">
        <f>'Raw Score Check'!Q40</f>
        <v>0</v>
      </c>
      <c r="AE41" s="201">
        <v>1</v>
      </c>
      <c r="AF41" s="155">
        <v>0</v>
      </c>
    </row>
    <row r="42" spans="2:32" ht="90.75" thickBot="1">
      <c r="B42" s="73">
        <v>38</v>
      </c>
      <c r="C42" s="81" t="s">
        <v>58</v>
      </c>
      <c r="D42" s="81" t="s">
        <v>59</v>
      </c>
      <c r="E42" s="130">
        <f>'Raw Score Check'!H41</f>
        <v>0</v>
      </c>
      <c r="F42" s="204">
        <v>0</v>
      </c>
      <c r="G42" s="204">
        <v>0</v>
      </c>
      <c r="H42" s="201">
        <v>1</v>
      </c>
      <c r="I42" s="202">
        <v>0</v>
      </c>
      <c r="K42" s="77">
        <v>38</v>
      </c>
      <c r="L42" s="81" t="s">
        <v>61</v>
      </c>
      <c r="M42" s="81" t="s">
        <v>62</v>
      </c>
      <c r="N42" s="92">
        <f>'Raw Score Check'!K41</f>
        <v>0</v>
      </c>
      <c r="O42" s="134">
        <v>0</v>
      </c>
      <c r="P42" s="134">
        <v>1</v>
      </c>
      <c r="Q42" s="134">
        <v>0</v>
      </c>
      <c r="R42" s="134">
        <v>0</v>
      </c>
      <c r="U42" s="81"/>
      <c r="V42" s="81"/>
      <c r="W42" s="92"/>
      <c r="X42" s="81"/>
      <c r="Y42" s="81"/>
      <c r="AA42" s="78">
        <v>38</v>
      </c>
      <c r="AB42" s="81" t="s">
        <v>81</v>
      </c>
      <c r="AC42" s="81" t="s">
        <v>84</v>
      </c>
      <c r="AD42" s="93">
        <f>'Raw Score Check'!Q41</f>
        <v>0</v>
      </c>
      <c r="AE42" s="155">
        <v>0</v>
      </c>
      <c r="AF42" s="155">
        <v>0</v>
      </c>
    </row>
    <row r="43" spans="2:32" ht="30">
      <c r="B43" s="73">
        <v>39</v>
      </c>
      <c r="C43" s="81" t="s">
        <v>40</v>
      </c>
      <c r="D43" s="81" t="s">
        <v>42</v>
      </c>
      <c r="E43" s="203">
        <f>'Raw Score Check'!H42</f>
        <v>0</v>
      </c>
      <c r="F43" s="204">
        <v>0</v>
      </c>
      <c r="G43" s="204">
        <v>1</v>
      </c>
      <c r="H43" s="201">
        <v>1</v>
      </c>
      <c r="I43" s="205">
        <v>0</v>
      </c>
      <c r="K43" s="77">
        <v>39</v>
      </c>
      <c r="L43" s="81" t="s">
        <v>61</v>
      </c>
      <c r="M43" s="81" t="s">
        <v>64</v>
      </c>
      <c r="N43" s="92">
        <f>'Raw Score Check'!K42</f>
        <v>0</v>
      </c>
      <c r="O43" s="134">
        <v>0</v>
      </c>
      <c r="P43" s="134">
        <v>0</v>
      </c>
      <c r="Q43" s="134">
        <v>0</v>
      </c>
      <c r="R43" s="134">
        <v>0</v>
      </c>
      <c r="U43" s="81"/>
      <c r="V43" s="81"/>
      <c r="W43" s="92"/>
      <c r="X43" s="81"/>
      <c r="Y43" s="81"/>
      <c r="AB43" s="81"/>
      <c r="AC43" s="81"/>
    </row>
    <row r="44" spans="2:32" ht="30">
      <c r="B44" s="73">
        <v>40</v>
      </c>
      <c r="C44" s="81" t="s">
        <v>58</v>
      </c>
      <c r="D44" s="81" t="s">
        <v>59</v>
      </c>
      <c r="E44" s="130">
        <f>'Raw Score Check'!H43</f>
        <v>0</v>
      </c>
      <c r="F44" s="204">
        <v>0</v>
      </c>
      <c r="G44" s="204">
        <v>0</v>
      </c>
      <c r="H44" s="201">
        <v>1</v>
      </c>
      <c r="I44" s="205">
        <v>0</v>
      </c>
      <c r="K44" s="77">
        <v>40</v>
      </c>
      <c r="L44" s="81" t="s">
        <v>65</v>
      </c>
      <c r="M44" s="81" t="s">
        <v>66</v>
      </c>
      <c r="N44" s="92">
        <f>'Raw Score Check'!K43</f>
        <v>0</v>
      </c>
      <c r="O44" s="134">
        <v>0</v>
      </c>
      <c r="P44" s="134">
        <v>0</v>
      </c>
      <c r="Q44" s="134">
        <v>0</v>
      </c>
      <c r="R44" s="134">
        <v>0</v>
      </c>
      <c r="U44" s="81"/>
      <c r="V44" s="81"/>
      <c r="W44" s="92"/>
      <c r="X44" s="81"/>
      <c r="Y44" s="81"/>
      <c r="AB44" s="81"/>
      <c r="AC44" s="81"/>
    </row>
    <row r="45" spans="2:32" ht="30">
      <c r="B45" s="73">
        <v>41</v>
      </c>
      <c r="C45" s="81" t="s">
        <v>52</v>
      </c>
      <c r="D45" s="81" t="s">
        <v>56</v>
      </c>
      <c r="E45" s="203">
        <f>'Raw Score Check'!H44</f>
        <v>0</v>
      </c>
      <c r="F45" s="204">
        <v>0</v>
      </c>
      <c r="G45" s="204">
        <v>0</v>
      </c>
      <c r="H45" s="201">
        <v>1</v>
      </c>
      <c r="I45" s="202">
        <v>0</v>
      </c>
      <c r="K45" s="77">
        <v>41</v>
      </c>
      <c r="L45" s="81" t="s">
        <v>61</v>
      </c>
      <c r="M45" s="81" t="s">
        <v>64</v>
      </c>
      <c r="N45" s="92">
        <f>'Raw Score Check'!K44</f>
        <v>0</v>
      </c>
      <c r="O45" s="134">
        <v>1</v>
      </c>
      <c r="P45" s="134">
        <v>0</v>
      </c>
      <c r="Q45" s="134">
        <v>0</v>
      </c>
      <c r="R45" s="134">
        <v>0</v>
      </c>
      <c r="U45" s="81"/>
      <c r="V45" s="81"/>
      <c r="W45" s="92"/>
      <c r="X45" s="81"/>
      <c r="Y45" s="81"/>
      <c r="AB45" s="81"/>
      <c r="AC45" s="81"/>
    </row>
    <row r="46" spans="2:32" ht="30">
      <c r="B46" s="73">
        <v>42</v>
      </c>
      <c r="C46" s="81" t="s">
        <v>52</v>
      </c>
      <c r="D46" s="81" t="s">
        <v>56</v>
      </c>
      <c r="E46" s="130">
        <f>'Raw Score Check'!H45</f>
        <v>0</v>
      </c>
      <c r="F46" s="204">
        <v>0</v>
      </c>
      <c r="G46" s="204">
        <v>0</v>
      </c>
      <c r="H46" s="201">
        <v>0</v>
      </c>
      <c r="I46" s="201">
        <v>1</v>
      </c>
      <c r="K46" s="77">
        <v>42</v>
      </c>
      <c r="L46" s="81" t="s">
        <v>61</v>
      </c>
      <c r="M46" s="81" t="s">
        <v>64</v>
      </c>
      <c r="N46" s="92">
        <f>'Raw Score Check'!K45</f>
        <v>0</v>
      </c>
      <c r="O46" s="134">
        <v>1</v>
      </c>
      <c r="P46" s="134">
        <v>0</v>
      </c>
      <c r="Q46" s="134">
        <v>0</v>
      </c>
      <c r="R46" s="134">
        <v>0</v>
      </c>
      <c r="U46" s="81"/>
      <c r="V46" s="81"/>
      <c r="W46" s="92"/>
      <c r="X46" s="81"/>
      <c r="Y46" s="81"/>
      <c r="AB46" s="81"/>
      <c r="AC46" s="81"/>
    </row>
    <row r="47" spans="2:32" ht="30">
      <c r="B47" s="73">
        <v>43</v>
      </c>
      <c r="C47" s="81" t="s">
        <v>52</v>
      </c>
      <c r="D47" s="81" t="s">
        <v>54</v>
      </c>
      <c r="E47" s="203">
        <f>'Raw Score Check'!H46</f>
        <v>0</v>
      </c>
      <c r="F47" s="204">
        <v>0</v>
      </c>
      <c r="G47" s="204">
        <v>0</v>
      </c>
      <c r="H47" s="204">
        <v>0</v>
      </c>
      <c r="I47" s="201">
        <v>1</v>
      </c>
      <c r="K47" s="77">
        <v>43</v>
      </c>
      <c r="L47" s="81" t="s">
        <v>65</v>
      </c>
      <c r="M47" s="81" t="s">
        <v>66</v>
      </c>
      <c r="N47" s="92">
        <f>'Raw Score Check'!K46</f>
        <v>0</v>
      </c>
      <c r="O47" s="134">
        <v>0</v>
      </c>
      <c r="P47" s="134">
        <v>0</v>
      </c>
      <c r="Q47" s="134">
        <v>0</v>
      </c>
      <c r="R47" s="134">
        <v>0</v>
      </c>
      <c r="U47" s="81"/>
      <c r="V47" s="81"/>
      <c r="W47" s="92"/>
      <c r="X47" s="81"/>
      <c r="Y47" s="81"/>
      <c r="AB47" s="81"/>
      <c r="AC47" s="81"/>
    </row>
    <row r="48" spans="2:32" ht="30.75" thickBot="1">
      <c r="B48" s="73">
        <v>44</v>
      </c>
      <c r="C48" s="81" t="s">
        <v>40</v>
      </c>
      <c r="D48" s="81" t="s">
        <v>42</v>
      </c>
      <c r="E48" s="130">
        <f>'Raw Score Check'!H47</f>
        <v>0</v>
      </c>
      <c r="F48" s="204">
        <v>0</v>
      </c>
      <c r="G48" s="204">
        <v>1</v>
      </c>
      <c r="H48" s="201">
        <v>0</v>
      </c>
      <c r="I48" s="201">
        <v>1</v>
      </c>
      <c r="K48" s="78">
        <v>44</v>
      </c>
      <c r="L48" s="81" t="s">
        <v>61</v>
      </c>
      <c r="M48" s="81" t="s">
        <v>63</v>
      </c>
      <c r="N48" s="92">
        <f>'Raw Score Check'!K47</f>
        <v>0</v>
      </c>
      <c r="O48" s="134">
        <v>0</v>
      </c>
      <c r="P48" s="134">
        <v>0</v>
      </c>
      <c r="Q48" s="134">
        <v>0</v>
      </c>
      <c r="R48" s="134">
        <v>0</v>
      </c>
      <c r="U48" s="81"/>
      <c r="V48" s="81"/>
      <c r="W48" s="92"/>
      <c r="X48" s="81"/>
      <c r="Y48" s="81"/>
      <c r="AB48" s="81"/>
      <c r="AC48" s="81"/>
    </row>
    <row r="49" spans="2:25" ht="30">
      <c r="B49" s="73">
        <v>45</v>
      </c>
      <c r="C49" s="81" t="s">
        <v>52</v>
      </c>
      <c r="D49" s="81" t="s">
        <v>53</v>
      </c>
      <c r="E49" s="203">
        <f>'Raw Score Check'!H48</f>
        <v>0</v>
      </c>
      <c r="F49" s="204">
        <v>1</v>
      </c>
      <c r="G49" s="204">
        <v>0</v>
      </c>
      <c r="H49" s="204">
        <v>0</v>
      </c>
      <c r="I49" s="201">
        <v>1</v>
      </c>
      <c r="S49" s="81"/>
      <c r="V49" s="81"/>
      <c r="W49" s="92"/>
      <c r="X49" s="81"/>
      <c r="Y49" s="81"/>
    </row>
    <row r="50" spans="2:25" ht="30">
      <c r="B50" s="73">
        <v>46</v>
      </c>
      <c r="C50" s="81" t="s">
        <v>40</v>
      </c>
      <c r="D50" s="81" t="s">
        <v>41</v>
      </c>
      <c r="E50" s="130">
        <f>'Raw Score Check'!H49</f>
        <v>0</v>
      </c>
      <c r="F50" s="204">
        <v>0</v>
      </c>
      <c r="G50" s="204">
        <v>0</v>
      </c>
      <c r="H50" s="204">
        <v>0</v>
      </c>
      <c r="I50" s="201">
        <v>1</v>
      </c>
      <c r="L50" s="80" t="s">
        <v>125</v>
      </c>
      <c r="M50" s="81" t="s">
        <v>47</v>
      </c>
      <c r="O50" s="75" t="s">
        <v>48</v>
      </c>
      <c r="S50" s="81"/>
      <c r="V50" s="81"/>
      <c r="W50" s="92"/>
      <c r="X50" s="81"/>
      <c r="Y50" s="81"/>
    </row>
    <row r="51" spans="2:25" ht="30">
      <c r="B51" s="73">
        <v>47</v>
      </c>
      <c r="C51" s="81" t="s">
        <v>40</v>
      </c>
      <c r="D51" s="81" t="s">
        <v>42</v>
      </c>
      <c r="E51" s="203">
        <f>'Raw Score Check'!H50</f>
        <v>0</v>
      </c>
      <c r="F51" s="204">
        <v>0</v>
      </c>
      <c r="G51" s="204">
        <v>1</v>
      </c>
      <c r="H51" s="201">
        <v>0</v>
      </c>
      <c r="I51" s="201">
        <v>1</v>
      </c>
      <c r="L51" s="81" t="s">
        <v>41</v>
      </c>
      <c r="S51" s="81"/>
      <c r="V51" s="81"/>
      <c r="W51" s="92"/>
      <c r="X51" s="81"/>
      <c r="Y51" s="81"/>
    </row>
    <row r="52" spans="2:25" ht="30">
      <c r="B52" s="73">
        <v>48</v>
      </c>
      <c r="C52" s="81" t="s">
        <v>52</v>
      </c>
      <c r="D52" s="81" t="s">
        <v>53</v>
      </c>
      <c r="E52" s="130">
        <f>'Raw Score Check'!H51</f>
        <v>0</v>
      </c>
      <c r="F52" s="204">
        <v>1</v>
      </c>
      <c r="G52" s="204">
        <v>0</v>
      </c>
      <c r="H52" s="204">
        <v>0</v>
      </c>
      <c r="I52" s="201">
        <v>1</v>
      </c>
      <c r="S52" s="81"/>
      <c r="V52" s="81"/>
      <c r="W52" s="92"/>
      <c r="X52" s="81"/>
      <c r="Y52" s="81"/>
    </row>
    <row r="53" spans="2:25" ht="30">
      <c r="B53" s="73">
        <v>49</v>
      </c>
      <c r="C53" s="81" t="s">
        <v>40</v>
      </c>
      <c r="D53" s="81" t="s">
        <v>42</v>
      </c>
      <c r="E53" s="203">
        <f>'Raw Score Check'!H52</f>
        <v>0</v>
      </c>
      <c r="F53" s="204">
        <v>0</v>
      </c>
      <c r="G53" s="204">
        <v>0</v>
      </c>
      <c r="H53" s="201">
        <v>0</v>
      </c>
      <c r="I53" s="201">
        <v>1</v>
      </c>
      <c r="S53" s="81"/>
      <c r="V53" s="81"/>
      <c r="W53" s="92"/>
      <c r="X53" s="81"/>
      <c r="Y53" s="81"/>
    </row>
    <row r="54" spans="2:25" ht="45">
      <c r="B54" s="73">
        <v>50</v>
      </c>
      <c r="C54" s="81" t="s">
        <v>58</v>
      </c>
      <c r="D54" s="81" t="s">
        <v>60</v>
      </c>
      <c r="E54" s="130">
        <f>'Raw Score Check'!H53</f>
        <v>0</v>
      </c>
      <c r="F54" s="204">
        <v>0</v>
      </c>
      <c r="G54" s="204">
        <v>1</v>
      </c>
      <c r="H54" s="204">
        <v>0</v>
      </c>
      <c r="I54" s="201">
        <v>1</v>
      </c>
    </row>
    <row r="55" spans="2:25" ht="45">
      <c r="B55" s="73">
        <v>51</v>
      </c>
      <c r="C55" s="81" t="s">
        <v>58</v>
      </c>
      <c r="D55" s="81" t="s">
        <v>60</v>
      </c>
      <c r="E55" s="203">
        <f>'Raw Score Check'!H54</f>
        <v>0</v>
      </c>
      <c r="F55" s="204">
        <v>0</v>
      </c>
      <c r="G55" s="204">
        <v>0</v>
      </c>
      <c r="H55" s="201">
        <v>0</v>
      </c>
      <c r="I55" s="201">
        <v>1</v>
      </c>
    </row>
    <row r="56" spans="2:25" ht="45.75" thickBot="1">
      <c r="B56" s="74">
        <v>52</v>
      </c>
      <c r="C56" s="81" t="s">
        <v>58</v>
      </c>
      <c r="D56" s="81" t="s">
        <v>60</v>
      </c>
      <c r="E56" s="130">
        <f>'Raw Score Check'!H55</f>
        <v>0</v>
      </c>
      <c r="F56" s="204">
        <v>0</v>
      </c>
      <c r="G56" s="204">
        <v>1</v>
      </c>
      <c r="H56" s="204">
        <v>0</v>
      </c>
      <c r="I56" s="201">
        <v>1</v>
      </c>
    </row>
    <row r="60" spans="2:25">
      <c r="D60" s="81">
        <v>2328</v>
      </c>
    </row>
  </sheetData>
  <dataValidations count="7">
    <dataValidation type="list" allowBlank="1" showInputMessage="1" showErrorMessage="1" sqref="AC5:AC42">
      <formula1>MathDependentList2222</formula1>
    </dataValidation>
    <dataValidation type="list" allowBlank="1" showInputMessage="1" showErrorMessage="1" sqref="AE41 Q27 Q29:Q31 Q35 Q37 X16 AE13 AE18 AE20:AE21 AE31 AE37 E5:I56 R18:R22 R24 Y24 AF14:AF15 AF9 AF17 AF25:AF26 AF36">
      <formula1>ReadingDependentList</formula1>
    </dataValidation>
    <dataValidation type="list" allowBlank="1" showInputMessage="1" showErrorMessage="1" sqref="L5:L48">
      <formula1>WritingHeader</formula1>
    </dataValidation>
    <dataValidation type="list" allowBlank="1" showInputMessage="1" showErrorMessage="1" sqref="N5:P48 Q38:Q48 Q5:Q26 Q28 Q32:Q34 Q36 R5:R17 R23 R25:R48">
      <formula1>WritingDependentList</formula1>
    </dataValidation>
    <dataValidation type="list" allowBlank="1" showInputMessage="1" showErrorMessage="1" sqref="D5:D56">
      <formula1>ReadingDependentList4</formula1>
    </dataValidation>
    <dataValidation type="list" allowBlank="1" showInputMessage="1" showErrorMessage="1" sqref="M5:M48">
      <formula1>WritingDependentList4</formula1>
    </dataValidation>
    <dataValidation type="list" allowBlank="1" showInputMessage="1" showErrorMessage="1" sqref="V5:V24">
      <formula1>MathDependentList1111</formula1>
    </dataValidation>
  </dataValidations>
  <pageMargins left="0.7" right="0.7" top="0.75" bottom="0.75" header="0.3" footer="0.3"/>
  <tableParts count="4">
    <tablePart r:id="rId1"/>
    <tablePart r:id="rId2"/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'Skill Key'!$A$3:$E$3</xm:f>
          </x14:formula1>
          <xm:sqref>U5:U24 AB5:AB42</xm:sqref>
        </x14:dataValidation>
        <x14:dataValidation type="list" allowBlank="1" showInputMessage="1" showErrorMessage="1">
          <x14:formula1>
            <xm:f>Key!$G$3:$J$3</xm:f>
          </x14:formula1>
          <xm:sqref>C5:C56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13"/>
  <dimension ref="A2:J30"/>
  <sheetViews>
    <sheetView topLeftCell="A4" zoomScale="85" zoomScaleNormal="85" workbookViewId="0">
      <selection activeCell="I7" sqref="I7"/>
    </sheetView>
  </sheetViews>
  <sheetFormatPr defaultColWidth="9.140625" defaultRowHeight="15"/>
  <cols>
    <col min="1" max="1" width="7.5703125" style="75" customWidth="1"/>
    <col min="2" max="4" width="25.7109375" style="75" customWidth="1"/>
    <col min="5" max="5" width="22.85546875" style="75" customWidth="1"/>
    <col min="6" max="6" width="9.140625" style="75"/>
    <col min="7" max="7" width="10.42578125" style="75" customWidth="1"/>
    <col min="8" max="8" width="22.28515625" style="75" customWidth="1"/>
    <col min="9" max="9" width="27.5703125" style="75" customWidth="1"/>
    <col min="10" max="10" width="26.140625" style="75" customWidth="1"/>
    <col min="11" max="16384" width="9.140625" style="75"/>
  </cols>
  <sheetData>
    <row r="2" spans="1:10">
      <c r="A2" s="84"/>
      <c r="B2" s="83"/>
      <c r="C2" s="83"/>
      <c r="D2" s="83"/>
      <c r="E2" s="84"/>
      <c r="F2" s="84"/>
    </row>
    <row r="3" spans="1:10" ht="27.75" customHeight="1">
      <c r="A3" s="88" t="s">
        <v>123</v>
      </c>
      <c r="B3" s="88" t="s">
        <v>71</v>
      </c>
      <c r="C3" s="89" t="s">
        <v>81</v>
      </c>
      <c r="D3" s="89" t="s">
        <v>96</v>
      </c>
      <c r="E3" s="125" t="s">
        <v>107</v>
      </c>
      <c r="F3" s="85"/>
      <c r="G3" s="91" t="s">
        <v>123</v>
      </c>
      <c r="H3" s="92" t="s">
        <v>40</v>
      </c>
      <c r="I3" s="92" t="s">
        <v>52</v>
      </c>
      <c r="J3" s="92" t="s">
        <v>58</v>
      </c>
    </row>
    <row r="4" spans="1:10" ht="27.75" customHeight="1">
      <c r="A4" s="87"/>
      <c r="B4" s="87"/>
      <c r="C4" s="87"/>
      <c r="D4" s="87"/>
      <c r="E4" s="94"/>
      <c r="F4" s="85"/>
      <c r="G4" s="91"/>
      <c r="H4" s="92"/>
      <c r="I4" s="92"/>
      <c r="J4" s="92"/>
    </row>
    <row r="5" spans="1:10" ht="27.75" customHeight="1">
      <c r="A5" s="87"/>
      <c r="B5" s="87" t="s">
        <v>72</v>
      </c>
      <c r="C5" s="87" t="s">
        <v>82</v>
      </c>
      <c r="D5" s="87" t="s">
        <v>97</v>
      </c>
      <c r="E5" s="87" t="s">
        <v>108</v>
      </c>
      <c r="F5" s="85"/>
      <c r="G5" s="91"/>
      <c r="H5" s="92" t="s">
        <v>41</v>
      </c>
      <c r="I5" s="92" t="s">
        <v>53</v>
      </c>
      <c r="J5" s="92" t="s">
        <v>59</v>
      </c>
    </row>
    <row r="6" spans="1:10" ht="27.75" customHeight="1">
      <c r="A6" s="87"/>
      <c r="B6" s="87" t="s">
        <v>73</v>
      </c>
      <c r="C6" s="87" t="s">
        <v>83</v>
      </c>
      <c r="D6" s="87" t="s">
        <v>98</v>
      </c>
      <c r="E6" s="87" t="s">
        <v>109</v>
      </c>
      <c r="F6" s="85"/>
      <c r="G6" s="91"/>
      <c r="H6" s="92" t="s">
        <v>42</v>
      </c>
      <c r="I6" s="92" t="s">
        <v>54</v>
      </c>
      <c r="J6" s="92" t="s">
        <v>60</v>
      </c>
    </row>
    <row r="7" spans="1:10" ht="27.75" customHeight="1">
      <c r="A7" s="87"/>
      <c r="B7" s="87" t="s">
        <v>74</v>
      </c>
      <c r="C7" s="87" t="s">
        <v>84</v>
      </c>
      <c r="D7" s="87" t="s">
        <v>99</v>
      </c>
      <c r="E7" s="87" t="s">
        <v>110</v>
      </c>
      <c r="F7" s="85"/>
      <c r="G7" s="91"/>
      <c r="H7" s="92" t="s">
        <v>43</v>
      </c>
      <c r="I7" s="92" t="s">
        <v>55</v>
      </c>
      <c r="J7" s="92"/>
    </row>
    <row r="8" spans="1:10" ht="27.75" customHeight="1">
      <c r="A8" s="87"/>
      <c r="B8" s="87" t="s">
        <v>75</v>
      </c>
      <c r="C8" s="87" t="s">
        <v>85</v>
      </c>
      <c r="D8" s="87" t="s">
        <v>100</v>
      </c>
      <c r="E8" s="87" t="s">
        <v>111</v>
      </c>
      <c r="F8" s="85"/>
      <c r="G8" s="91"/>
      <c r="H8" s="92" t="s">
        <v>44</v>
      </c>
      <c r="I8" s="92" t="s">
        <v>56</v>
      </c>
      <c r="J8" s="92"/>
    </row>
    <row r="9" spans="1:10" ht="27.75" customHeight="1">
      <c r="A9" s="87"/>
      <c r="B9" s="87" t="s">
        <v>76</v>
      </c>
      <c r="C9" s="87" t="s">
        <v>86</v>
      </c>
      <c r="D9" s="87" t="s">
        <v>101</v>
      </c>
      <c r="E9" s="87" t="s">
        <v>112</v>
      </c>
      <c r="F9" s="85"/>
      <c r="G9" s="91"/>
      <c r="H9" s="92" t="s">
        <v>45</v>
      </c>
      <c r="I9" s="92" t="s">
        <v>57</v>
      </c>
      <c r="J9" s="92"/>
    </row>
    <row r="10" spans="1:10" ht="27.75" customHeight="1">
      <c r="A10" s="87"/>
      <c r="B10" s="87" t="s">
        <v>77</v>
      </c>
      <c r="C10" s="87" t="s">
        <v>87</v>
      </c>
      <c r="D10" s="87" t="s">
        <v>102</v>
      </c>
      <c r="E10" s="87" t="s">
        <v>113</v>
      </c>
      <c r="F10" s="85"/>
      <c r="G10" s="91"/>
      <c r="H10" s="92" t="s">
        <v>46</v>
      </c>
      <c r="I10" s="92"/>
      <c r="J10" s="92"/>
    </row>
    <row r="11" spans="1:10" ht="27.75" customHeight="1">
      <c r="A11" s="87"/>
      <c r="B11" s="87" t="s">
        <v>78</v>
      </c>
      <c r="C11" s="87" t="s">
        <v>88</v>
      </c>
      <c r="D11" s="87" t="s">
        <v>103</v>
      </c>
      <c r="E11" s="87" t="s">
        <v>114</v>
      </c>
      <c r="F11" s="85"/>
      <c r="G11" s="84"/>
    </row>
    <row r="12" spans="1:10" ht="27.75" customHeight="1">
      <c r="A12" s="87"/>
      <c r="B12" s="87" t="s">
        <v>79</v>
      </c>
      <c r="C12" s="87" t="s">
        <v>89</v>
      </c>
      <c r="D12" s="87" t="s">
        <v>104</v>
      </c>
      <c r="E12" s="87" t="s">
        <v>115</v>
      </c>
      <c r="F12" s="84"/>
      <c r="G12" s="91" t="s">
        <v>123</v>
      </c>
      <c r="H12" s="93" t="s">
        <v>61</v>
      </c>
      <c r="I12" s="93" t="s">
        <v>65</v>
      </c>
    </row>
    <row r="13" spans="1:10" ht="27.75" customHeight="1">
      <c r="A13" s="87"/>
      <c r="B13" s="87" t="s">
        <v>80</v>
      </c>
      <c r="C13" s="87" t="s">
        <v>90</v>
      </c>
      <c r="D13" s="87" t="s">
        <v>105</v>
      </c>
      <c r="E13" s="87"/>
      <c r="F13" s="84"/>
      <c r="G13" s="91"/>
      <c r="H13" s="93"/>
      <c r="I13" s="93"/>
    </row>
    <row r="14" spans="1:10" ht="27.75" customHeight="1">
      <c r="A14" s="87"/>
      <c r="B14" s="87"/>
      <c r="C14" s="87" t="s">
        <v>91</v>
      </c>
      <c r="D14" s="87" t="s">
        <v>106</v>
      </c>
      <c r="E14" s="87"/>
      <c r="F14" s="84"/>
      <c r="G14" s="91"/>
      <c r="H14" s="93" t="s">
        <v>62</v>
      </c>
      <c r="I14" s="93" t="s">
        <v>66</v>
      </c>
    </row>
    <row r="15" spans="1:10" ht="27.75" customHeight="1">
      <c r="A15" s="87"/>
      <c r="B15" s="87"/>
      <c r="C15" s="87" t="s">
        <v>92</v>
      </c>
      <c r="D15" s="87"/>
      <c r="E15" s="87"/>
      <c r="F15" s="84"/>
      <c r="G15" s="91"/>
      <c r="H15" s="93" t="s">
        <v>63</v>
      </c>
      <c r="I15" s="93" t="s">
        <v>67</v>
      </c>
    </row>
    <row r="16" spans="1:10" ht="27.75" customHeight="1">
      <c r="A16" s="87"/>
      <c r="B16" s="87"/>
      <c r="C16" s="87" t="s">
        <v>93</v>
      </c>
      <c r="D16" s="87"/>
      <c r="E16" s="87"/>
      <c r="F16" s="84"/>
      <c r="G16" s="91"/>
      <c r="H16" s="93" t="s">
        <v>64</v>
      </c>
      <c r="I16" s="93" t="s">
        <v>68</v>
      </c>
    </row>
    <row r="17" spans="1:7" ht="27.75" customHeight="1">
      <c r="A17" s="87"/>
      <c r="B17" s="87"/>
      <c r="C17" s="87" t="s">
        <v>94</v>
      </c>
      <c r="D17" s="87"/>
      <c r="E17" s="87"/>
      <c r="F17" s="84"/>
      <c r="G17" s="84"/>
    </row>
    <row r="18" spans="1:7">
      <c r="A18" s="87"/>
      <c r="B18" s="87"/>
      <c r="C18" s="87" t="s">
        <v>95</v>
      </c>
      <c r="D18" s="87"/>
      <c r="E18" s="87"/>
      <c r="F18" s="85"/>
      <c r="G18" s="84"/>
    </row>
    <row r="19" spans="1:7">
      <c r="A19" s="86"/>
      <c r="B19" s="86"/>
      <c r="C19" s="86"/>
      <c r="D19" s="86"/>
      <c r="E19" s="84"/>
      <c r="F19" s="82"/>
      <c r="G19" s="85"/>
    </row>
    <row r="20" spans="1:7">
      <c r="F20" s="82"/>
    </row>
    <row r="21" spans="1:7">
      <c r="F21" s="82"/>
    </row>
    <row r="22" spans="1:7">
      <c r="F22" s="82"/>
    </row>
    <row r="23" spans="1:7">
      <c r="F23" s="82"/>
    </row>
    <row r="24" spans="1:7">
      <c r="F24" s="82"/>
    </row>
    <row r="25" spans="1:7">
      <c r="F25" s="82"/>
    </row>
    <row r="26" spans="1:7">
      <c r="F26" s="82"/>
    </row>
    <row r="27" spans="1:7">
      <c r="F27" s="82"/>
    </row>
    <row r="28" spans="1:7">
      <c r="F28" s="82"/>
    </row>
    <row r="29" spans="1:7">
      <c r="F29" s="82"/>
    </row>
    <row r="30" spans="1:7">
      <c r="F30" s="82"/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14"/>
  <dimension ref="A2:J30"/>
  <sheetViews>
    <sheetView zoomScale="85" zoomScaleNormal="85" workbookViewId="0">
      <selection activeCell="A3" sqref="A3:E3"/>
    </sheetView>
  </sheetViews>
  <sheetFormatPr defaultColWidth="9.140625" defaultRowHeight="15"/>
  <cols>
    <col min="1" max="1" width="7.5703125" style="75" customWidth="1"/>
    <col min="2" max="4" width="25.7109375" style="75" customWidth="1"/>
    <col min="5" max="5" width="22.85546875" style="75" customWidth="1"/>
    <col min="6" max="6" width="9.140625" style="75"/>
    <col min="7" max="7" width="10.42578125" style="75" customWidth="1"/>
    <col min="8" max="8" width="22.28515625" style="75" customWidth="1"/>
    <col min="9" max="9" width="27.5703125" style="75" customWidth="1"/>
    <col min="10" max="10" width="26.140625" style="75" customWidth="1"/>
    <col min="11" max="16384" width="9.140625" style="75"/>
  </cols>
  <sheetData>
    <row r="2" spans="1:10">
      <c r="A2" s="84"/>
      <c r="B2" s="83"/>
      <c r="C2" s="83"/>
      <c r="D2" s="83"/>
      <c r="E2" s="84"/>
      <c r="F2" s="84"/>
    </row>
    <row r="3" spans="1:10" ht="27.75" customHeight="1">
      <c r="A3" s="88" t="s">
        <v>123</v>
      </c>
      <c r="B3" s="88" t="s">
        <v>71</v>
      </c>
      <c r="C3" s="89" t="s">
        <v>81</v>
      </c>
      <c r="D3" s="89" t="s">
        <v>96</v>
      </c>
      <c r="E3" s="90" t="s">
        <v>107</v>
      </c>
      <c r="F3" s="85"/>
      <c r="G3" s="91" t="s">
        <v>123</v>
      </c>
      <c r="H3" s="92" t="s">
        <v>40</v>
      </c>
      <c r="I3" s="92" t="s">
        <v>52</v>
      </c>
      <c r="J3" s="92" t="s">
        <v>58</v>
      </c>
    </row>
    <row r="4" spans="1:10" ht="27.75" customHeight="1">
      <c r="A4" s="87"/>
      <c r="B4" s="87"/>
      <c r="C4" s="87"/>
      <c r="D4" s="87"/>
      <c r="E4" s="94"/>
      <c r="F4" s="85"/>
      <c r="G4" s="91"/>
      <c r="H4" s="92"/>
      <c r="I4" s="92"/>
      <c r="J4" s="92"/>
    </row>
    <row r="5" spans="1:10" ht="27.75" customHeight="1">
      <c r="A5" s="87"/>
      <c r="B5" s="87" t="s">
        <v>72</v>
      </c>
      <c r="C5" s="87" t="s">
        <v>82</v>
      </c>
      <c r="D5" s="87" t="s">
        <v>97</v>
      </c>
      <c r="E5" s="87" t="s">
        <v>108</v>
      </c>
      <c r="F5" s="85"/>
      <c r="G5" s="91"/>
      <c r="H5" s="92" t="s">
        <v>41</v>
      </c>
      <c r="I5" s="92" t="s">
        <v>53</v>
      </c>
      <c r="J5" s="92" t="s">
        <v>59</v>
      </c>
    </row>
    <row r="6" spans="1:10" ht="27.75" customHeight="1">
      <c r="A6" s="87"/>
      <c r="B6" s="87" t="s">
        <v>73</v>
      </c>
      <c r="C6" s="87" t="s">
        <v>83</v>
      </c>
      <c r="D6" s="87" t="s">
        <v>98</v>
      </c>
      <c r="E6" s="87" t="s">
        <v>109</v>
      </c>
      <c r="F6" s="85"/>
      <c r="G6" s="91"/>
      <c r="H6" s="92" t="s">
        <v>42</v>
      </c>
      <c r="I6" s="92" t="s">
        <v>54</v>
      </c>
      <c r="J6" s="92" t="s">
        <v>60</v>
      </c>
    </row>
    <row r="7" spans="1:10" ht="27.75" customHeight="1">
      <c r="A7" s="87"/>
      <c r="B7" s="87" t="s">
        <v>74</v>
      </c>
      <c r="C7" s="87" t="s">
        <v>84</v>
      </c>
      <c r="D7" s="87" t="s">
        <v>99</v>
      </c>
      <c r="E7" s="87" t="s">
        <v>110</v>
      </c>
      <c r="F7" s="85"/>
      <c r="G7" s="91"/>
      <c r="H7" s="92" t="s">
        <v>43</v>
      </c>
      <c r="I7" s="92" t="s">
        <v>55</v>
      </c>
      <c r="J7" s="92"/>
    </row>
    <row r="8" spans="1:10" ht="27.75" customHeight="1">
      <c r="A8" s="87"/>
      <c r="B8" s="87" t="s">
        <v>75</v>
      </c>
      <c r="C8" s="87" t="s">
        <v>85</v>
      </c>
      <c r="D8" s="87" t="s">
        <v>100</v>
      </c>
      <c r="E8" s="87" t="s">
        <v>111</v>
      </c>
      <c r="F8" s="85"/>
      <c r="G8" s="91"/>
      <c r="H8" s="92" t="s">
        <v>44</v>
      </c>
      <c r="I8" s="92" t="s">
        <v>56</v>
      </c>
      <c r="J8" s="92"/>
    </row>
    <row r="9" spans="1:10" ht="27.75" customHeight="1">
      <c r="A9" s="87"/>
      <c r="B9" s="87" t="s">
        <v>76</v>
      </c>
      <c r="C9" s="87" t="s">
        <v>86</v>
      </c>
      <c r="D9" s="87" t="s">
        <v>101</v>
      </c>
      <c r="E9" s="87" t="s">
        <v>112</v>
      </c>
      <c r="F9" s="85"/>
      <c r="G9" s="91"/>
      <c r="H9" s="92" t="s">
        <v>45</v>
      </c>
      <c r="I9" s="92" t="s">
        <v>57</v>
      </c>
      <c r="J9" s="92"/>
    </row>
    <row r="10" spans="1:10" ht="27.75" customHeight="1">
      <c r="A10" s="87"/>
      <c r="B10" s="87" t="s">
        <v>77</v>
      </c>
      <c r="C10" s="87" t="s">
        <v>87</v>
      </c>
      <c r="D10" s="87" t="s">
        <v>102</v>
      </c>
      <c r="E10" s="87" t="s">
        <v>113</v>
      </c>
      <c r="F10" s="85"/>
      <c r="G10" s="91"/>
      <c r="H10" s="92" t="s">
        <v>46</v>
      </c>
      <c r="I10" s="92"/>
      <c r="J10" s="92"/>
    </row>
    <row r="11" spans="1:10" ht="27.75" customHeight="1">
      <c r="A11" s="87"/>
      <c r="B11" s="87" t="s">
        <v>78</v>
      </c>
      <c r="C11" s="87" t="s">
        <v>88</v>
      </c>
      <c r="D11" s="87" t="s">
        <v>103</v>
      </c>
      <c r="E11" s="87" t="s">
        <v>114</v>
      </c>
      <c r="F11" s="85"/>
      <c r="G11" s="84"/>
    </row>
    <row r="12" spans="1:10" ht="27.75" customHeight="1">
      <c r="A12" s="87"/>
      <c r="B12" s="87" t="s">
        <v>79</v>
      </c>
      <c r="C12" s="87" t="s">
        <v>89</v>
      </c>
      <c r="D12" s="87" t="s">
        <v>104</v>
      </c>
      <c r="E12" s="87" t="s">
        <v>115</v>
      </c>
      <c r="F12" s="84"/>
      <c r="G12" s="91" t="s">
        <v>123</v>
      </c>
      <c r="H12" s="93" t="s">
        <v>61</v>
      </c>
      <c r="I12" s="93" t="s">
        <v>65</v>
      </c>
    </row>
    <row r="13" spans="1:10" ht="27.75" customHeight="1">
      <c r="A13" s="87"/>
      <c r="B13" s="87" t="s">
        <v>80</v>
      </c>
      <c r="C13" s="87" t="s">
        <v>90</v>
      </c>
      <c r="D13" s="87" t="s">
        <v>105</v>
      </c>
      <c r="E13" s="87"/>
      <c r="F13" s="84"/>
      <c r="G13" s="91"/>
      <c r="H13" s="93"/>
      <c r="I13" s="93"/>
    </row>
    <row r="14" spans="1:10" ht="27.75" customHeight="1">
      <c r="A14" s="87"/>
      <c r="B14" s="87"/>
      <c r="C14" s="87" t="s">
        <v>91</v>
      </c>
      <c r="D14" s="87" t="s">
        <v>106</v>
      </c>
      <c r="E14" s="87"/>
      <c r="F14" s="84"/>
      <c r="G14" s="91"/>
      <c r="H14" s="93" t="s">
        <v>62</v>
      </c>
      <c r="I14" s="93" t="s">
        <v>66</v>
      </c>
    </row>
    <row r="15" spans="1:10" ht="27.75" customHeight="1">
      <c r="A15" s="87"/>
      <c r="B15" s="87"/>
      <c r="C15" s="87" t="s">
        <v>92</v>
      </c>
      <c r="D15" s="87"/>
      <c r="E15" s="87"/>
      <c r="F15" s="84"/>
      <c r="G15" s="91"/>
      <c r="H15" s="93" t="s">
        <v>63</v>
      </c>
      <c r="I15" s="93" t="s">
        <v>67</v>
      </c>
    </row>
    <row r="16" spans="1:10" ht="27.75" customHeight="1">
      <c r="A16" s="87"/>
      <c r="B16" s="87"/>
      <c r="C16" s="87" t="s">
        <v>93</v>
      </c>
      <c r="D16" s="87"/>
      <c r="E16" s="87"/>
      <c r="F16" s="84"/>
      <c r="G16" s="91"/>
      <c r="H16" s="93" t="s">
        <v>64</v>
      </c>
      <c r="I16" s="93" t="s">
        <v>68</v>
      </c>
    </row>
    <row r="17" spans="1:7" ht="27.75" customHeight="1">
      <c r="A17" s="87"/>
      <c r="B17" s="87"/>
      <c r="C17" s="87" t="s">
        <v>94</v>
      </c>
      <c r="D17" s="87"/>
      <c r="E17" s="87"/>
      <c r="F17" s="84"/>
      <c r="G17" s="84"/>
    </row>
    <row r="18" spans="1:7">
      <c r="A18" s="87"/>
      <c r="B18" s="87"/>
      <c r="C18" s="87" t="s">
        <v>95</v>
      </c>
      <c r="D18" s="87"/>
      <c r="E18" s="87"/>
      <c r="F18" s="85"/>
      <c r="G18" s="84"/>
    </row>
    <row r="19" spans="1:7">
      <c r="A19" s="86"/>
      <c r="B19" s="86"/>
      <c r="C19" s="86"/>
      <c r="D19" s="86"/>
      <c r="E19" s="84"/>
      <c r="F19" s="82"/>
      <c r="G19" s="85"/>
    </row>
    <row r="20" spans="1:7">
      <c r="F20" s="82"/>
    </row>
    <row r="21" spans="1:7">
      <c r="F21" s="82"/>
    </row>
    <row r="22" spans="1:7">
      <c r="F22" s="82"/>
    </row>
    <row r="23" spans="1:7">
      <c r="F23" s="82"/>
    </row>
    <row r="24" spans="1:7">
      <c r="F24" s="82"/>
    </row>
    <row r="25" spans="1:7">
      <c r="F25" s="82"/>
    </row>
    <row r="26" spans="1:7">
      <c r="F26" s="82"/>
    </row>
    <row r="27" spans="1:7">
      <c r="F27" s="82"/>
    </row>
    <row r="28" spans="1:7">
      <c r="F28" s="82"/>
    </row>
    <row r="29" spans="1:7">
      <c r="F29" s="82"/>
    </row>
    <row r="30" spans="1:7">
      <c r="F30" s="82"/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2E58943E99BC84DA7F0EF6E1DFE833B" ma:contentTypeVersion="0" ma:contentTypeDescription="Create a new document." ma:contentTypeScope="" ma:versionID="3cf2e8970dc28e322ccca94d07110799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c64490b4aec6201516c3a874156f37b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EDAA97E9-4669-41E3-9C3D-A95802B7C10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2D1068F-C116-444A-B747-1F712F4BA58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299A311E-1B33-4BFA-8CC5-2532F204783F}">
  <ds:schemaRefs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119</vt:i4>
      </vt:variant>
    </vt:vector>
  </HeadingPairs>
  <TitlesOfParts>
    <vt:vector size="141" baseType="lpstr">
      <vt:lpstr>Input</vt:lpstr>
      <vt:lpstr>Skill Summary</vt:lpstr>
      <vt:lpstr>Detailed Report</vt:lpstr>
      <vt:lpstr>Math Report</vt:lpstr>
      <vt:lpstr>Reading Report</vt:lpstr>
      <vt:lpstr>Report Front</vt:lpstr>
      <vt:lpstr>Raw Score Check</vt:lpstr>
      <vt:lpstr>PT Answer Tables</vt:lpstr>
      <vt:lpstr>PT 1 Scaled Score Tables</vt:lpstr>
      <vt:lpstr>PT 6 Scaled Score Tables</vt:lpstr>
      <vt:lpstr>PT 5 Scaled Score Tables</vt:lpstr>
      <vt:lpstr>PT 2 Scaled Score Tables</vt:lpstr>
      <vt:lpstr>PT 3 Scaled Score Tables</vt:lpstr>
      <vt:lpstr>PT 4 Scaled Score Tables</vt:lpstr>
      <vt:lpstr>PT 1 Skill Tables</vt:lpstr>
      <vt:lpstr>PT 6 Skill Tables</vt:lpstr>
      <vt:lpstr>PT 5 Skill Tables</vt:lpstr>
      <vt:lpstr>PT 2 Skill Tables</vt:lpstr>
      <vt:lpstr>PT 3 Skill Tables</vt:lpstr>
      <vt:lpstr>PT 4 Skill Tables</vt:lpstr>
      <vt:lpstr>Skill Key</vt:lpstr>
      <vt:lpstr>Key</vt:lpstr>
      <vt:lpstr>'Skill Key'!AdditionalTopics</vt:lpstr>
      <vt:lpstr>AdditionalTopics</vt:lpstr>
      <vt:lpstr>'Skill Key'!AdditionalTopicsinMath</vt:lpstr>
      <vt:lpstr>AdditionalTopicsinMath</vt:lpstr>
      <vt:lpstr>CommandofEvidenceScore</vt:lpstr>
      <vt:lpstr>DateInput</vt:lpstr>
      <vt:lpstr>'Skill Key'!HeartofAlgebra</vt:lpstr>
      <vt:lpstr>HeartofAlgebra</vt:lpstr>
      <vt:lpstr>HistoryRawScore</vt:lpstr>
      <vt:lpstr>'Skill Key'!HoA_Skills</vt:lpstr>
      <vt:lpstr>HoA_Skills</vt:lpstr>
      <vt:lpstr>'Skill Key'!Math_Categories</vt:lpstr>
      <vt:lpstr>Math_Categories</vt:lpstr>
      <vt:lpstr>Key!MathHeader</vt:lpstr>
      <vt:lpstr>'PT 2 Scaled Score Tables'!MathHeader</vt:lpstr>
      <vt:lpstr>'PT 3 Scaled Score Tables'!MathHeader</vt:lpstr>
      <vt:lpstr>'PT 4 Scaled Score Tables'!MathHeader</vt:lpstr>
      <vt:lpstr>'PT 5 Scaled Score Tables'!MathHeader</vt:lpstr>
      <vt:lpstr>'PT 5 Skill Tables'!MathHeader</vt:lpstr>
      <vt:lpstr>'PT 6 Scaled Score Tables'!MathHeader</vt:lpstr>
      <vt:lpstr>'PT 6 Skill Tables'!MathHeader</vt:lpstr>
      <vt:lpstr>MathHeader</vt:lpstr>
      <vt:lpstr>MathRawScore</vt:lpstr>
      <vt:lpstr>'PT 5 Skill Tables'!MathSkillDropdown</vt:lpstr>
      <vt:lpstr>'PT 6 Skill Tables'!MathSkillDropdown</vt:lpstr>
      <vt:lpstr>MathSkillDropdown</vt:lpstr>
      <vt:lpstr>Key!MathSkills</vt:lpstr>
      <vt:lpstr>'PT 2 Scaled Score Tables'!MathSkills</vt:lpstr>
      <vt:lpstr>'PT 3 Scaled Score Tables'!MathSkills</vt:lpstr>
      <vt:lpstr>'PT 4 Scaled Score Tables'!MathSkills</vt:lpstr>
      <vt:lpstr>'PT 5 Scaled Score Tables'!MathSkills</vt:lpstr>
      <vt:lpstr>'PT 5 Skill Tables'!MathSkills</vt:lpstr>
      <vt:lpstr>'PT 6 Scaled Score Tables'!MathSkills</vt:lpstr>
      <vt:lpstr>'PT 6 Skill Tables'!MathSkills</vt:lpstr>
      <vt:lpstr>MathSkills</vt:lpstr>
      <vt:lpstr>'Skill Key'!PassporttoAdvancedMathematics</vt:lpstr>
      <vt:lpstr>PassporttoAdvancedMathematics</vt:lpstr>
      <vt:lpstr>'PT 2 Scaled Score Tables'!Practice_Tests</vt:lpstr>
      <vt:lpstr>'PT 3 Scaled Score Tables'!Practice_Tests</vt:lpstr>
      <vt:lpstr>'PT 4 Scaled Score Tables'!Practice_Tests</vt:lpstr>
      <vt:lpstr>'PT 5 Scaled Score Tables'!Practice_Tests</vt:lpstr>
      <vt:lpstr>'PT 5 Skill Tables'!Practice_Tests</vt:lpstr>
      <vt:lpstr>'PT 6 Scaled Score Tables'!Practice_Tests</vt:lpstr>
      <vt:lpstr>'PT 6 Skill Tables'!Practice_Tests</vt:lpstr>
      <vt:lpstr>Practice_Tests</vt:lpstr>
      <vt:lpstr>'Detailed Report'!Print_Area</vt:lpstr>
      <vt:lpstr>'Math Report'!Print_Area</vt:lpstr>
      <vt:lpstr>'Reading Report'!Print_Area</vt:lpstr>
      <vt:lpstr>'Report Front'!Print_Area</vt:lpstr>
      <vt:lpstr>'Skill Summary'!Print_Area</vt:lpstr>
      <vt:lpstr>'Skill Key'!ProblemSolvingandDataAnalysis</vt:lpstr>
      <vt:lpstr>ProblemSolvingandDataAnalysis</vt:lpstr>
      <vt:lpstr>'Skill Key'!PS_Data</vt:lpstr>
      <vt:lpstr>PS_Data</vt:lpstr>
      <vt:lpstr>PT1Math2Answers</vt:lpstr>
      <vt:lpstr>PT1ReadingAnswers</vt:lpstr>
      <vt:lpstr>'PT 2 Scaled Score Tables'!PT1ScaledScores</vt:lpstr>
      <vt:lpstr>'PT 3 Scaled Score Tables'!PT1ScaledScores</vt:lpstr>
      <vt:lpstr>'PT 4 Scaled Score Tables'!PT1ScaledScores</vt:lpstr>
      <vt:lpstr>'PT 5 Scaled Score Tables'!PT1ScaledScores</vt:lpstr>
      <vt:lpstr>'PT 5 Skill Tables'!PT1ScaledScores</vt:lpstr>
      <vt:lpstr>'PT 6 Scaled Score Tables'!PT1ScaledScores</vt:lpstr>
      <vt:lpstr>'PT 6 Skill Tables'!PT1ScaledScores</vt:lpstr>
      <vt:lpstr>PT1ScaledScores</vt:lpstr>
      <vt:lpstr>PT1WritingAnswers</vt:lpstr>
      <vt:lpstr>PT6ScaledScoreTable</vt:lpstr>
      <vt:lpstr>PT6Skill4</vt:lpstr>
      <vt:lpstr>PTDropdown</vt:lpstr>
      <vt:lpstr>PTKEY</vt:lpstr>
      <vt:lpstr>'PT 2 Scaled Score Tables'!PTKEYTABLE</vt:lpstr>
      <vt:lpstr>'PT 3 Scaled Score Tables'!PTKEYTABLE</vt:lpstr>
      <vt:lpstr>'PT 4 Scaled Score Tables'!PTKEYTABLE</vt:lpstr>
      <vt:lpstr>'PT 5 Scaled Score Tables'!PTKEYTABLE</vt:lpstr>
      <vt:lpstr>'PT 5 Skill Tables'!PTKEYTABLE</vt:lpstr>
      <vt:lpstr>'PT 6 Scaled Score Tables'!PTKEYTABLE</vt:lpstr>
      <vt:lpstr>'PT 6 Skill Tables'!PTKEYTABLE</vt:lpstr>
      <vt:lpstr>PTKEYTABLE</vt:lpstr>
      <vt:lpstr>Reading_Closely_Correct_PT1</vt:lpstr>
      <vt:lpstr>Key!ReadingHeader</vt:lpstr>
      <vt:lpstr>'PT 2 Scaled Score Tables'!ReadingHeader</vt:lpstr>
      <vt:lpstr>'PT 3 Scaled Score Tables'!ReadingHeader</vt:lpstr>
      <vt:lpstr>'PT 4 Scaled Score Tables'!ReadingHeader</vt:lpstr>
      <vt:lpstr>'PT 5 Scaled Score Tables'!ReadingHeader</vt:lpstr>
      <vt:lpstr>'PT 5 Skill Tables'!ReadingHeader</vt:lpstr>
      <vt:lpstr>'PT 6 Scaled Score Tables'!ReadingHeader</vt:lpstr>
      <vt:lpstr>'PT 6 Skill Tables'!ReadingHeader</vt:lpstr>
      <vt:lpstr>ReadingHeader</vt:lpstr>
      <vt:lpstr>Key!ReadingTable</vt:lpstr>
      <vt:lpstr>'PT 2 Scaled Score Tables'!ReadingTable</vt:lpstr>
      <vt:lpstr>'PT 3 Scaled Score Tables'!ReadingTable</vt:lpstr>
      <vt:lpstr>'PT 4 Scaled Score Tables'!ReadingTable</vt:lpstr>
      <vt:lpstr>'PT 5 Scaled Score Tables'!ReadingTable</vt:lpstr>
      <vt:lpstr>'PT 5 Skill Tables'!ReadingTable</vt:lpstr>
      <vt:lpstr>'PT 6 Scaled Score Tables'!ReadingTable</vt:lpstr>
      <vt:lpstr>'PT 6 Skill Tables'!ReadingTable</vt:lpstr>
      <vt:lpstr>ReadingTable</vt:lpstr>
      <vt:lpstr>ReadingTestRawScore</vt:lpstr>
      <vt:lpstr>ScienceRawScore</vt:lpstr>
      <vt:lpstr>StudentNameInput</vt:lpstr>
      <vt:lpstr>WordsinContextScore</vt:lpstr>
      <vt:lpstr>Key!WritingHeader</vt:lpstr>
      <vt:lpstr>'PT 2 Scaled Score Tables'!WritingHeader</vt:lpstr>
      <vt:lpstr>'PT 3 Scaled Score Tables'!WritingHeader</vt:lpstr>
      <vt:lpstr>'PT 4 Scaled Score Tables'!WritingHeader</vt:lpstr>
      <vt:lpstr>'PT 5 Scaled Score Tables'!WritingHeader</vt:lpstr>
      <vt:lpstr>'PT 5 Skill Tables'!WritingHeader</vt:lpstr>
      <vt:lpstr>'PT 6 Scaled Score Tables'!WritingHeader</vt:lpstr>
      <vt:lpstr>'PT 6 Skill Tables'!WritingHeader</vt:lpstr>
      <vt:lpstr>WritingHeader</vt:lpstr>
      <vt:lpstr>Key!WritingTable</vt:lpstr>
      <vt:lpstr>'PT 2 Scaled Score Tables'!WritingTable</vt:lpstr>
      <vt:lpstr>'PT 3 Scaled Score Tables'!WritingTable</vt:lpstr>
      <vt:lpstr>'PT 4 Scaled Score Tables'!WritingTable</vt:lpstr>
      <vt:lpstr>'PT 5 Scaled Score Tables'!WritingTable</vt:lpstr>
      <vt:lpstr>'PT 5 Skill Tables'!WritingTable</vt:lpstr>
      <vt:lpstr>'PT 6 Scaled Score Tables'!WritingTable</vt:lpstr>
      <vt:lpstr>'PT 6 Skill Tables'!WritingTable</vt:lpstr>
      <vt:lpstr>WritingTable</vt:lpstr>
      <vt:lpstr>WritingTestRawScore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Silver Oak Learning Centers</dc:creator>
  <cp:lastModifiedBy>User</cp:lastModifiedBy>
  <cp:lastPrinted>2016-11-08T00:31:58Z</cp:lastPrinted>
  <dcterms:created xsi:type="dcterms:W3CDTF">2015-06-09T18:22:50Z</dcterms:created>
  <dcterms:modified xsi:type="dcterms:W3CDTF">2016-11-16T23:55:07Z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0x01010092E58943E99BC84DA7F0EF6E1DFE833B</vt:lpwstr>
  </property>
  <property fmtid="{D5CDD505-2E9C-101B-9397-08002B2CF9AE}" pid="3" name="WorkbookGuid">
    <vt:lpwstr>2ac6c258-4ce0-41e2-a4d0-b846da0843d3</vt:lpwstr>
  </property>
</Properties>
</file>