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cheng\Text\WegCenter\LeadMatters\2d-GCCI-UniGraz\2-gcci-related-papers\gkimop-briefcomm-pap\papfinish-CommEE\fin1-data\"/>
    </mc:Choice>
  </mc:AlternateContent>
  <xr:revisionPtr revIDLastSave="0" documentId="13_ncr:1_{AE0A51A9-29DC-45EB-BCD3-4826E69995A5}" xr6:coauthVersionLast="47" xr6:coauthVersionMax="47" xr10:uidLastSave="{00000000-0000-0000-0000-000000000000}"/>
  <bookViews>
    <workbookView xWindow="60" yWindow="600" windowWidth="27150" windowHeight="14355" tabRatio="500" xr2:uid="{00000000-000D-0000-FFFF-FFFF00000000}"/>
  </bookViews>
  <sheets>
    <sheet name="ERA5 GSAT base prediction" sheetId="1" r:id="rId1"/>
    <sheet name="2024 prediction GSAT GMST" sheetId="4" r:id="rId2"/>
    <sheet name="seas2era_spread_ltm1" sheetId="2" r:id="rId3"/>
    <sheet name="seas2era_spread_ltm4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29" i="1" l="1"/>
  <c r="E16" i="4"/>
  <c r="D123" i="1"/>
  <c r="F123" i="1" s="1"/>
  <c r="D122" i="1"/>
  <c r="F122" i="1" s="1"/>
  <c r="D110" i="1"/>
  <c r="F110" i="1" s="1"/>
  <c r="D98" i="1"/>
  <c r="F98" i="1" s="1"/>
  <c r="D87" i="1"/>
  <c r="F87" i="1" s="1"/>
  <c r="D111" i="1"/>
  <c r="F111" i="1" s="1"/>
  <c r="I38" i="4"/>
  <c r="E32" i="4"/>
  <c r="E31" i="4"/>
  <c r="E30" i="4"/>
  <c r="E29" i="4"/>
  <c r="E28" i="4"/>
  <c r="E27" i="4"/>
  <c r="H26" i="4"/>
  <c r="G26" i="4"/>
  <c r="F26" i="4"/>
  <c r="E26" i="4"/>
  <c r="H20" i="4"/>
  <c r="H19" i="4"/>
  <c r="E11" i="4"/>
  <c r="F11" i="4" s="1"/>
  <c r="E4" i="4"/>
  <c r="D17" i="3"/>
  <c r="D16" i="3"/>
  <c r="D15" i="3"/>
  <c r="D14" i="3"/>
  <c r="E14" i="3" s="1"/>
  <c r="D13" i="3"/>
  <c r="E13" i="3" s="1"/>
  <c r="D12" i="3"/>
  <c r="E12" i="3" s="1"/>
  <c r="D11" i="3"/>
  <c r="D10" i="3"/>
  <c r="D9" i="3"/>
  <c r="D8" i="3"/>
  <c r="D7" i="3"/>
  <c r="E7" i="3" s="1"/>
  <c r="D6" i="3"/>
  <c r="F5" i="3"/>
  <c r="E5" i="3"/>
  <c r="D5" i="3"/>
  <c r="D4" i="3"/>
  <c r="D3" i="3"/>
  <c r="D17" i="2"/>
  <c r="D16" i="2"/>
  <c r="D15" i="2"/>
  <c r="D14" i="2"/>
  <c r="D13" i="2"/>
  <c r="E12" i="2" s="1"/>
  <c r="D12" i="2"/>
  <c r="E11" i="2"/>
  <c r="D11" i="2"/>
  <c r="E10" i="2" s="1"/>
  <c r="D10" i="2"/>
  <c r="D9" i="2"/>
  <c r="D8" i="2"/>
  <c r="D7" i="2"/>
  <c r="E7" i="2" s="1"/>
  <c r="D6" i="2"/>
  <c r="E6" i="2" s="1"/>
  <c r="D5" i="2"/>
  <c r="D4" i="2"/>
  <c r="D3" i="2"/>
  <c r="F3" i="2" s="1"/>
  <c r="D2" i="2"/>
  <c r="H126" i="1"/>
  <c r="L126" i="1" s="1"/>
  <c r="O126" i="1" s="1"/>
  <c r="H125" i="1"/>
  <c r="N125" i="1" s="1"/>
  <c r="Q125" i="1" s="1"/>
  <c r="H124" i="1"/>
  <c r="N124" i="1" s="1"/>
  <c r="Q124" i="1" s="1"/>
  <c r="H114" i="1"/>
  <c r="H113" i="1"/>
  <c r="H112" i="1"/>
  <c r="N112" i="1" s="1"/>
  <c r="Q112" i="1" s="1"/>
  <c r="H102" i="1"/>
  <c r="L102" i="1" s="1"/>
  <c r="O102" i="1" s="1"/>
  <c r="H101" i="1"/>
  <c r="N101" i="1" s="1"/>
  <c r="Q101" i="1" s="1"/>
  <c r="H100" i="1"/>
  <c r="N100" i="1" s="1"/>
  <c r="Q100" i="1" s="1"/>
  <c r="H99" i="1"/>
  <c r="N99" i="1" s="1"/>
  <c r="Q99" i="1" s="1"/>
  <c r="H91" i="1"/>
  <c r="M91" i="1" s="1"/>
  <c r="P91" i="1" s="1"/>
  <c r="H90" i="1"/>
  <c r="M90" i="1" s="1"/>
  <c r="P90" i="1" s="1"/>
  <c r="H89" i="1"/>
  <c r="M89" i="1" s="1"/>
  <c r="P89" i="1" s="1"/>
  <c r="H88" i="1"/>
  <c r="L88" i="1" s="1"/>
  <c r="O88" i="1" s="1"/>
  <c r="H80" i="1"/>
  <c r="M80" i="1" s="1"/>
  <c r="P80" i="1" s="1"/>
  <c r="H79" i="1"/>
  <c r="L79" i="1" s="1"/>
  <c r="O79" i="1" s="1"/>
  <c r="H78" i="1"/>
  <c r="N78" i="1" s="1"/>
  <c r="Q78" i="1" s="1"/>
  <c r="H77" i="1"/>
  <c r="M77" i="1" s="1"/>
  <c r="P77" i="1" s="1"/>
  <c r="H76" i="1"/>
  <c r="I76" i="1" s="1"/>
  <c r="D76" i="1"/>
  <c r="F76" i="1" s="1"/>
  <c r="H68" i="1"/>
  <c r="M68" i="1" s="1"/>
  <c r="P68" i="1" s="1"/>
  <c r="H67" i="1"/>
  <c r="M67" i="1" s="1"/>
  <c r="P67" i="1" s="1"/>
  <c r="H66" i="1"/>
  <c r="M66" i="1" s="1"/>
  <c r="P66" i="1" s="1"/>
  <c r="H65" i="1"/>
  <c r="L65" i="1" s="1"/>
  <c r="O65" i="1" s="1"/>
  <c r="D65" i="1"/>
  <c r="F65" i="1" s="1"/>
  <c r="H64" i="1"/>
  <c r="N64" i="1" s="1"/>
  <c r="Q64" i="1" s="1"/>
  <c r="D64" i="1"/>
  <c r="F64" i="1" s="1"/>
  <c r="H63" i="1"/>
  <c r="I63" i="1" s="1"/>
  <c r="H62" i="1"/>
  <c r="I62" i="1" s="1"/>
  <c r="H61" i="1"/>
  <c r="M61" i="1" s="1"/>
  <c r="P61" i="1" s="1"/>
  <c r="H60" i="1"/>
  <c r="M60" i="1" s="1"/>
  <c r="P60" i="1" s="1"/>
  <c r="H59" i="1"/>
  <c r="I59" i="1" s="1"/>
  <c r="H58" i="1"/>
  <c r="I58" i="1" s="1"/>
  <c r="H57" i="1"/>
  <c r="M57" i="1" s="1"/>
  <c r="P57" i="1" s="1"/>
  <c r="H56" i="1"/>
  <c r="M56" i="1" s="1"/>
  <c r="P56" i="1" s="1"/>
  <c r="H55" i="1"/>
  <c r="I55" i="1" s="1"/>
  <c r="H54" i="1"/>
  <c r="I54" i="1" s="1"/>
  <c r="H53" i="1"/>
  <c r="I53" i="1" s="1"/>
  <c r="H52" i="1"/>
  <c r="M52" i="1" s="1"/>
  <c r="P52" i="1" s="1"/>
  <c r="L125" i="1" l="1"/>
  <c r="O125" i="1" s="1"/>
  <c r="I60" i="1"/>
  <c r="L60" i="1" s="1"/>
  <c r="O60" i="1" s="1"/>
  <c r="I61" i="1"/>
  <c r="L61" i="1" s="1"/>
  <c r="O61" i="1" s="1"/>
  <c r="I56" i="1"/>
  <c r="L56" i="1" s="1"/>
  <c r="O56" i="1" s="1"/>
  <c r="I57" i="1"/>
  <c r="L57" i="1" s="1"/>
  <c r="O57" i="1" s="1"/>
  <c r="I64" i="1"/>
  <c r="L64" i="1" s="1"/>
  <c r="O64" i="1" s="1"/>
  <c r="M125" i="1"/>
  <c r="P125" i="1" s="1"/>
  <c r="N89" i="1"/>
  <c r="Q89" i="1" s="1"/>
  <c r="N66" i="1"/>
  <c r="Q66" i="1" s="1"/>
  <c r="N68" i="1"/>
  <c r="Q68" i="1" s="1"/>
  <c r="N80" i="1"/>
  <c r="Q80" i="1" s="1"/>
  <c r="N126" i="1"/>
  <c r="Q126" i="1" s="1"/>
  <c r="Q129" i="1" s="1"/>
  <c r="L66" i="1"/>
  <c r="O66" i="1" s="1"/>
  <c r="M99" i="1"/>
  <c r="P99" i="1" s="1"/>
  <c r="M78" i="1"/>
  <c r="P78" i="1" s="1"/>
  <c r="M100" i="1"/>
  <c r="P100" i="1" s="1"/>
  <c r="L100" i="1"/>
  <c r="O100" i="1" s="1"/>
  <c r="M112" i="1"/>
  <c r="P112" i="1" s="1"/>
  <c r="N65" i="1"/>
  <c r="Q65" i="1" s="1"/>
  <c r="L58" i="1"/>
  <c r="O58" i="1" s="1"/>
  <c r="N77" i="1"/>
  <c r="Q77" i="1" s="1"/>
  <c r="L101" i="1"/>
  <c r="O101" i="1" s="1"/>
  <c r="M58" i="1"/>
  <c r="P58" i="1" s="1"/>
  <c r="M101" i="1"/>
  <c r="P101" i="1" s="1"/>
  <c r="L68" i="1"/>
  <c r="O68" i="1" s="1"/>
  <c r="L89" i="1"/>
  <c r="O89" i="1" s="1"/>
  <c r="M126" i="1"/>
  <c r="P126" i="1" s="1"/>
  <c r="E8" i="3"/>
  <c r="G5" i="3"/>
  <c r="E9" i="3"/>
  <c r="F9" i="3"/>
  <c r="E10" i="3"/>
  <c r="G11" i="2"/>
  <c r="F11" i="2"/>
  <c r="F2" i="2"/>
  <c r="F6" i="2"/>
  <c r="G6" i="2" s="1"/>
  <c r="E14" i="2"/>
  <c r="H21" i="4"/>
  <c r="G21" i="4" s="1"/>
  <c r="H41" i="4"/>
  <c r="I41" i="4" s="1"/>
  <c r="G14" i="3"/>
  <c r="G9" i="3"/>
  <c r="L53" i="1"/>
  <c r="O53" i="1" s="1"/>
  <c r="M55" i="1"/>
  <c r="P55" i="1" s="1"/>
  <c r="L62" i="1"/>
  <c r="O62" i="1" s="1"/>
  <c r="M76" i="1"/>
  <c r="P76" i="1" s="1"/>
  <c r="M79" i="1"/>
  <c r="P79" i="1" s="1"/>
  <c r="N88" i="1"/>
  <c r="Q88" i="1" s="1"/>
  <c r="L91" i="1"/>
  <c r="O91" i="1" s="1"/>
  <c r="M102" i="1"/>
  <c r="P102" i="1" s="1"/>
  <c r="N114" i="1"/>
  <c r="Q114" i="1" s="1"/>
  <c r="M114" i="1"/>
  <c r="P114" i="1" s="1"/>
  <c r="L124" i="1"/>
  <c r="O124" i="1" s="1"/>
  <c r="E2" i="2"/>
  <c r="G2" i="2" s="1"/>
  <c r="E8" i="2"/>
  <c r="E9" i="2"/>
  <c r="F11" i="3"/>
  <c r="F10" i="3"/>
  <c r="G10" i="3" s="1"/>
  <c r="H33" i="4"/>
  <c r="H40" i="4" s="1"/>
  <c r="M53" i="1"/>
  <c r="P53" i="1" s="1"/>
  <c r="M62" i="1"/>
  <c r="P62" i="1" s="1"/>
  <c r="N79" i="1"/>
  <c r="Q79" i="1" s="1"/>
  <c r="N91" i="1"/>
  <c r="Q91" i="1" s="1"/>
  <c r="N102" i="1"/>
  <c r="Q102" i="1" s="1"/>
  <c r="Q104" i="1" s="1"/>
  <c r="L114" i="1"/>
  <c r="O114" i="1" s="1"/>
  <c r="M124" i="1"/>
  <c r="P124" i="1" s="1"/>
  <c r="F12" i="2"/>
  <c r="G12" i="2" s="1"/>
  <c r="F7" i="2"/>
  <c r="G7" i="2" s="1"/>
  <c r="E6" i="3"/>
  <c r="G6" i="3" s="1"/>
  <c r="M88" i="1"/>
  <c r="P88" i="1" s="1"/>
  <c r="P93" i="1" s="1"/>
  <c r="F14" i="3"/>
  <c r="M59" i="1"/>
  <c r="P59" i="1" s="1"/>
  <c r="L59" i="1"/>
  <c r="O59" i="1" s="1"/>
  <c r="M64" i="1"/>
  <c r="P64" i="1" s="1"/>
  <c r="M65" i="1"/>
  <c r="P65" i="1" s="1"/>
  <c r="P71" i="1" s="1"/>
  <c r="L78" i="1"/>
  <c r="O78" i="1" s="1"/>
  <c r="N90" i="1"/>
  <c r="Q90" i="1" s="1"/>
  <c r="L90" i="1"/>
  <c r="O90" i="1" s="1"/>
  <c r="L99" i="1"/>
  <c r="O99" i="1" s="1"/>
  <c r="E3" i="2"/>
  <c r="G3" i="2" s="1"/>
  <c r="F13" i="2"/>
  <c r="E4" i="2"/>
  <c r="F14" i="2"/>
  <c r="E5" i="2"/>
  <c r="F6" i="3"/>
  <c r="N76" i="1"/>
  <c r="Q76" i="1" s="1"/>
  <c r="L76" i="1"/>
  <c r="O76" i="1" s="1"/>
  <c r="L52" i="1"/>
  <c r="O52" i="1" s="1"/>
  <c r="L54" i="1"/>
  <c r="O54" i="1" s="1"/>
  <c r="M63" i="1"/>
  <c r="P63" i="1" s="1"/>
  <c r="L63" i="1"/>
  <c r="O63" i="1" s="1"/>
  <c r="L80" i="1"/>
  <c r="O80" i="1" s="1"/>
  <c r="F10" i="2"/>
  <c r="G10" i="2" s="1"/>
  <c r="E4" i="3"/>
  <c r="E11" i="3"/>
  <c r="F13" i="3"/>
  <c r="G13" i="3" s="1"/>
  <c r="I26" i="4"/>
  <c r="G33" i="4"/>
  <c r="G40" i="4" s="1"/>
  <c r="M54" i="1"/>
  <c r="P54" i="1" s="1"/>
  <c r="N67" i="1"/>
  <c r="Q67" i="1" s="1"/>
  <c r="L67" i="1"/>
  <c r="O67" i="1" s="1"/>
  <c r="L77" i="1"/>
  <c r="O77" i="1" s="1"/>
  <c r="N113" i="1"/>
  <c r="Q113" i="1" s="1"/>
  <c r="M113" i="1"/>
  <c r="P113" i="1" s="1"/>
  <c r="L113" i="1"/>
  <c r="O113" i="1" s="1"/>
  <c r="F33" i="4"/>
  <c r="F40" i="4" s="1"/>
  <c r="F4" i="3"/>
  <c r="F8" i="3"/>
  <c r="G8" i="3" s="1"/>
  <c r="F12" i="3"/>
  <c r="G12" i="3" s="1"/>
  <c r="L112" i="1"/>
  <c r="O112" i="1" s="1"/>
  <c r="F5" i="2"/>
  <c r="F9" i="2"/>
  <c r="E13" i="2"/>
  <c r="E3" i="3"/>
  <c r="F3" i="3"/>
  <c r="F7" i="3"/>
  <c r="G7" i="3" s="1"/>
  <c r="F4" i="2"/>
  <c r="F8" i="2"/>
  <c r="P129" i="1" l="1"/>
  <c r="P117" i="1"/>
  <c r="O129" i="1"/>
  <c r="Q117" i="1"/>
  <c r="O117" i="1"/>
  <c r="O93" i="1"/>
  <c r="O94" i="1" s="1"/>
  <c r="O71" i="1"/>
  <c r="O72" i="1" s="1"/>
  <c r="Q71" i="1"/>
  <c r="Q72" i="1" s="1"/>
  <c r="Q93" i="1"/>
  <c r="Q94" i="1" s="1"/>
  <c r="P82" i="1"/>
  <c r="O104" i="1"/>
  <c r="Q82" i="1"/>
  <c r="P104" i="1"/>
  <c r="Q105" i="1" s="1"/>
  <c r="O82" i="1"/>
  <c r="G11" i="3"/>
  <c r="H7" i="3" s="1"/>
  <c r="I7" i="3" s="1"/>
  <c r="G4" i="3"/>
  <c r="H5" i="3" s="1"/>
  <c r="I5" i="3" s="1"/>
  <c r="G3" i="3"/>
  <c r="G13" i="2"/>
  <c r="G4" i="2"/>
  <c r="H5" i="2" s="1"/>
  <c r="I5" i="2" s="1"/>
  <c r="I70" i="1"/>
  <c r="H13" i="3"/>
  <c r="I13" i="3" s="1"/>
  <c r="H9" i="3"/>
  <c r="I9" i="3" s="1"/>
  <c r="G9" i="2"/>
  <c r="L55" i="1"/>
  <c r="O55" i="1" s="1"/>
  <c r="G8" i="2"/>
  <c r="G14" i="2"/>
  <c r="I33" i="4"/>
  <c r="I40" i="4" s="1"/>
  <c r="G46" i="4" s="1"/>
  <c r="H46" i="4" s="1"/>
  <c r="G5" i="2"/>
  <c r="O130" i="1" l="1"/>
  <c r="Q130" i="1"/>
  <c r="O83" i="1"/>
  <c r="O118" i="1"/>
  <c r="Q83" i="1"/>
  <c r="O105" i="1"/>
  <c r="Q118" i="1"/>
  <c r="H3" i="3"/>
  <c r="I3" i="3" s="1"/>
  <c r="H14" i="3"/>
  <c r="I14" i="3" s="1"/>
  <c r="J14" i="3" s="1"/>
  <c r="H12" i="3"/>
  <c r="I12" i="3" s="1"/>
  <c r="H11" i="3"/>
  <c r="I11" i="3" s="1"/>
  <c r="H4" i="3"/>
  <c r="I4" i="3" s="1"/>
  <c r="H8" i="3"/>
  <c r="I8" i="3" s="1"/>
  <c r="H10" i="3"/>
  <c r="I10" i="3" s="1"/>
  <c r="H6" i="3"/>
  <c r="I6" i="3" s="1"/>
  <c r="H3" i="2"/>
  <c r="I3" i="2" s="1"/>
  <c r="H7" i="2"/>
  <c r="I7" i="2" s="1"/>
  <c r="H4" i="2"/>
  <c r="I4" i="2" s="1"/>
  <c r="H2" i="2"/>
  <c r="I2" i="2" s="1"/>
  <c r="H12" i="2"/>
  <c r="I12" i="2" s="1"/>
  <c r="H6" i="2"/>
  <c r="I6" i="2" s="1"/>
  <c r="H9" i="2"/>
  <c r="I9" i="2" s="1"/>
  <c r="H8" i="2"/>
  <c r="I8" i="2" s="1"/>
  <c r="G48" i="4"/>
  <c r="H48" i="4" s="1"/>
  <c r="E18" i="4"/>
  <c r="C46" i="4" s="1"/>
  <c r="D46" i="4" s="1"/>
  <c r="G47" i="4"/>
  <c r="H47" i="4" s="1"/>
  <c r="H10" i="2"/>
  <c r="I10" i="2" s="1"/>
  <c r="H13" i="2"/>
  <c r="I13" i="2" s="1"/>
  <c r="H14" i="2"/>
  <c r="I14" i="2" s="1"/>
  <c r="J12" i="3"/>
  <c r="H11" i="2"/>
  <c r="I11" i="2" s="1"/>
  <c r="J12" i="2" l="1"/>
  <c r="J14" i="2"/>
  <c r="C48" i="4"/>
  <c r="D48" i="4" s="1"/>
  <c r="C47" i="4"/>
  <c r="D47" i="4" s="1"/>
</calcChain>
</file>

<file path=xl/sharedStrings.xml><?xml version="1.0" encoding="utf-8"?>
<sst xmlns="http://schemas.openxmlformats.org/spreadsheetml/2006/main" count="180" uniqueCount="99">
  <si>
    <t># Data source: ERA5 monthly gridded data can be downloaded from https://cds.climate.copernicus.eu/cdsapp#!/dataset/reanalysis-era5-single-levels-monthly-means</t>
  </si>
  <si>
    <t># Method: Details about the method used to estimate temperature anomalies relative to the 1850-1900 preindustrial reference period can be found in this webpage: https://climate.copernicus.eu/climate-bulletin-about-data-and-analysis</t>
  </si>
  <si>
    <t># Columns:</t>
  </si>
  <si>
    <t>#   2t: Monthly absolute temperature</t>
  </si>
  <si>
    <t xml:space="preserve">#   clim_91-20: Monthly climatology for 1991-2020 </t>
  </si>
  <si>
    <t>#   ano_91-20: Monthly anomaly relative to 1991-2020</t>
  </si>
  <si>
    <t>#   offset_pi: Monthly offset between 1850-1900 and 1991-2020</t>
  </si>
  <si>
    <t>#   ano_pi: Monthly anomaly relative to 1850-1900</t>
  </si>
  <si>
    <t># Units: deg. C</t>
  </si>
  <si>
    <t># Last updated: 06 Aug 2024</t>
  </si>
  <si>
    <t>month</t>
  </si>
  <si>
    <t>2t</t>
  </si>
  <si>
    <t>clim_91-20</t>
  </si>
  <si>
    <t>ano_91-20</t>
  </si>
  <si>
    <t>offset_pi</t>
  </si>
  <si>
    <t>ano_pi</t>
  </si>
  <si>
    <t>SEAS-JUL abs (K)</t>
  </si>
  <si>
    <t>SEAS-JUL abs (°C)</t>
  </si>
  <si>
    <t>SEAStoERA-1</t>
  </si>
  <si>
    <t>SEAStoERA-2</t>
  </si>
  <si>
    <t>SEAStoERA-3</t>
  </si>
  <si>
    <t>SEAS-adj-abs-1</t>
  </si>
  <si>
    <t>SEAS-adj-abs-2</t>
  </si>
  <si>
    <t>SEAS-adj-abs-3</t>
  </si>
  <si>
    <t>SEAS-adj-anom-1</t>
  </si>
  <si>
    <t>SEAS-adj-anom-2</t>
  </si>
  <si>
    <t>SEAS-adj-anom-3</t>
  </si>
  <si>
    <t>Comment: Months in italic grey are not used for the annual average</t>
  </si>
  <si>
    <t>Comment: Months in bold green are used for the annual average</t>
  </si>
  <si>
    <t>Sep23-Aug24-Mean:</t>
  </si>
  <si>
    <t>SEAS-AUG abs (K)</t>
  </si>
  <si>
    <t>SEAS-AUG abs (°C)</t>
  </si>
  <si>
    <t>NO DATA</t>
  </si>
  <si>
    <t>SEAS-SEP abs (K)</t>
  </si>
  <si>
    <t>SEAS-SEP abs (°C)</t>
  </si>
  <si>
    <t>SEAS-OCT abs (K)</t>
  </si>
  <si>
    <t>SEAS-OCT abs (°C)</t>
  </si>
  <si>
    <t>Month</t>
  </si>
  <si>
    <t>ERA5</t>
  </si>
  <si>
    <t>SEAS5</t>
  </si>
  <si>
    <t>4month-mean</t>
  </si>
  <si>
    <t>annual-mean</t>
  </si>
  <si>
    <t>4month-mean-sqdev</t>
  </si>
  <si>
    <t>annual-sdev</t>
  </si>
  <si>
    <t>CI90 halfrange</t>
  </si>
  <si>
    <t>(check F14-I14)</t>
  </si>
  <si>
    <t>(check F14+I14)</t>
  </si>
  <si>
    <t>Comment: 4month-mean-devs are differences between 4month means and the annual mean. Spread is SQRT(SUM(4month-mean-devs**2)/N)</t>
  </si>
  <si>
    <t>Comment: grey italic values are a cyclic extension to facilitate the construction of 4month-means during the last 3 months june, july, august</t>
  </si>
  <si>
    <t>INPUT GSAT and RESULTS</t>
  </si>
  <si>
    <t>monthly mean</t>
  </si>
  <si>
    <t>block mean</t>
  </si>
  <si>
    <t>ERA5/SEAS5 GSAT 2024 estimate:</t>
  </si>
  <si>
    <t>(crosscheck ok)</t>
  </si>
  <si>
    <t>ClimTrace GSAT 2024 Mean estimate</t>
  </si>
  <si>
    <t>ClimTrace GSAT 2024 Uncertainty estimates CI90 halfrange, SDev</t>
  </si>
  <si>
    <t>HadCRU</t>
  </si>
  <si>
    <t>NOAA</t>
  </si>
  <si>
    <t>Berkeley</t>
  </si>
  <si>
    <t>ClimTrace</t>
  </si>
  <si>
    <t>HadCRU block mean</t>
  </si>
  <si>
    <t>NOAA block mean</t>
  </si>
  <si>
    <t>Berkeley block mean</t>
  </si>
  <si>
    <t>ClimTrace block mean</t>
  </si>
  <si>
    <t>ClimTrace GMST 2024 Mean estimate</t>
  </si>
  <si>
    <t>ClimTrace GMST 2024 Uncertainty estimates SDev, CI90 halfrange</t>
  </si>
  <si>
    <t>SUMMARY ClimTrace GSAT</t>
  </si>
  <si>
    <t>SUMMARY ClimTrace GMST</t>
  </si>
  <si>
    <t>“exact”</t>
  </si>
  <si>
    <t>Value</t>
  </si>
  <si>
    <t>CI90-upper</t>
  </si>
  <si>
    <t>CI90-lower</t>
  </si>
  <si>
    <t>delta Aug-Dec vs Jan-Jul</t>
  </si>
  <si>
    <t>month of 2024</t>
  </si>
  <si>
    <t>CI90 range: +/-0.02 °C</t>
  </si>
  <si>
    <t>1.62 +/- 0.08 °C</t>
  </si>
  <si>
    <t>1.53 +/- 0.05 °C</t>
  </si>
  <si>
    <t>ERAvsSEAS</t>
  </si>
  <si>
    <t>Comment: Months before July 2024 are not SEAS-JUL, but SEAS-LTM1</t>
  </si>
  <si>
    <t>ADOPTED BASE RESULTS FOR OCT-DEC2024 PREDICTION:</t>
  </si>
  <si>
    <t>CROSS-CHECK RESULTS FOR OCT-DEC2024 PREDICTION</t>
  </si>
  <si>
    <t>2024-Mean:</t>
  </si>
  <si>
    <t>GSAT prediction uncertainty CI90 halfrange (input value), SDev</t>
  </si>
  <si>
    <t>ClimTrace GSAT uncertainty (of 2023) without prediction uncertainty CI90 halfrange (input value), SDev</t>
  </si>
  <si>
    <t>ClimTrace GMST uncertainty (of 2023) without prediction uncertainty CI90 halfrange (input value), SDev</t>
  </si>
  <si>
    <t>INPUT GMST and RESULTS</t>
  </si>
  <si>
    <t>Adopted 2pcd-sym</t>
  </si>
  <si>
    <t>rounded 2pcd</t>
  </si>
  <si>
    <t>(90°S–90°N) from 1940 to 2024.</t>
  </si>
  <si>
    <t># Description: This file contains monthly means and monthly anomalies for surface air temperature from ERA5 averaged over the global domain (0–360°E)</t>
  </si>
  <si>
    <t># Contentinfo:</t>
  </si>
  <si>
    <t># Created by:</t>
  </si>
  <si>
    <t>Original header/metadata info in file timeseries_era5_monthly_2t_global_allmonths_up_to_july_2024.csv (dl via "Access to data" link at 2nd Fig of https://climate.copernicus.eu/surface-air-temperature-july-2024 - last access 15-Oct-2024):</t>
  </si>
  <si>
    <t>Delta-Value ERA5/SEAS5-predicted GSAT 2024 vs. ERA5 GSAT 2023:</t>
  </si>
  <si>
    <t>G. Kirchengast, M. Pichler (WEGC) - version 2024-10-31</t>
  </si>
  <si>
    <t>Relevant original data complemented by the computations for the GST-Paris article (plus three additional worksheets, with "2024 prediction GSAT GMST" containing the core results)</t>
  </si>
  <si>
    <t>WEGC GST-Paris article datafile "GST-Paris_article-datafile_prediction-2024-GSAT-GMST.xlsx"</t>
  </si>
  <si>
    <t>Based mainly on ERA5 (C3S-CDS) data (see original header info below), implementation of the prediction algo described in the GST-Paris article SM Section "Prediction of the 2024 annual-mean GSAT and GMST"</t>
  </si>
  <si>
    <t>(Note: Jan1940 to Dec2020 data dropped from this GST-Paris article 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</si>
</sst>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000"/>
    <numFmt numFmtId="166" formatCode="0.000"/>
    <numFmt numFmtId="167" formatCode="0.000000"/>
  </numFmts>
  <fonts count="2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i/>
      <sz val="10"/>
      <color rgb="FF666666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548235"/>
      <name val="Arial"/>
      <family val="2"/>
      <charset val="1"/>
    </font>
    <font>
      <b/>
      <sz val="10"/>
      <color rgb="FF468A1A"/>
      <name val="Arial"/>
      <family val="2"/>
      <charset val="1"/>
    </font>
    <font>
      <i/>
      <sz val="9"/>
      <name val="Arial"/>
      <family val="2"/>
      <charset val="1"/>
    </font>
    <font>
      <b/>
      <sz val="8"/>
      <name val="Arial"/>
      <family val="2"/>
      <charset val="1"/>
    </font>
    <font>
      <b/>
      <i/>
      <u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/>
      <sz val="8"/>
      <name val="Arial"/>
      <family val="2"/>
      <charset val="1"/>
    </font>
    <font>
      <i/>
      <sz val="10"/>
      <color rgb="FF767171"/>
      <name val="Arial"/>
      <family val="2"/>
      <charset val="1"/>
    </font>
    <font>
      <b/>
      <i/>
      <sz val="10"/>
      <color rgb="FF000000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b/>
      <i/>
      <sz val="10"/>
      <name val="Arial"/>
      <family val="2"/>
      <charset val="1"/>
    </font>
    <font>
      <i/>
      <sz val="10"/>
      <color rgb="FFFF0000"/>
      <name val="Arial"/>
      <family val="2"/>
      <charset val="1"/>
    </font>
    <font>
      <b/>
      <sz val="10"/>
      <name val="Arial"/>
      <family val="2"/>
    </font>
    <font>
      <b/>
      <i/>
      <sz val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color theme="0" tint="-0.499984740745262"/>
      <name val="Arial"/>
      <family val="2"/>
    </font>
    <font>
      <i/>
      <sz val="10"/>
      <color rgb="FF468A1A"/>
      <name val="Arial"/>
      <family val="2"/>
    </font>
    <font>
      <i/>
      <sz val="9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8CBAD"/>
        <bgColor rgb="FFFFE699"/>
      </patternFill>
    </fill>
    <fill>
      <patternFill patternType="solid">
        <fgColor rgb="FFFFFF00"/>
        <bgColor rgb="FFFFFF6D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C5E0B4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92D050"/>
        <bgColor rgb="FFBBE33D"/>
      </patternFill>
    </fill>
    <fill>
      <patternFill patternType="solid">
        <fgColor rgb="FFFFFF6D"/>
        <bgColor rgb="FFFFE699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rgb="FFFF6600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rgb="FFFFFF6D"/>
      </patternFill>
    </fill>
    <fill>
      <patternFill patternType="solid">
        <fgColor rgb="FFFFFF99"/>
        <bgColor rgb="FFFBE5D6"/>
      </patternFill>
    </fill>
    <fill>
      <patternFill patternType="solid">
        <fgColor theme="9" tint="0.39997558519241921"/>
        <bgColor rgb="FFFFFF6D"/>
      </patternFill>
    </fill>
    <fill>
      <patternFill patternType="solid">
        <fgColor theme="9" tint="0.39997558519241921"/>
        <bgColor rgb="FFFBE5D6"/>
      </patternFill>
    </fill>
    <fill>
      <patternFill patternType="solid">
        <fgColor rgb="FF92D050"/>
        <bgColor rgb="FF92D050"/>
      </patternFill>
    </fill>
  </fills>
  <borders count="50">
    <border>
      <left/>
      <right/>
      <top/>
      <bottom/>
      <diagonal/>
    </border>
    <border>
      <left/>
      <right/>
      <top style="thin">
        <color rgb="FFFFC000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/>
      <right/>
      <top style="thin">
        <color rgb="FFC00000"/>
      </top>
      <bottom/>
      <diagonal/>
    </border>
    <border>
      <left/>
      <right/>
      <top/>
      <bottom style="medium">
        <color rgb="FFC00000"/>
      </bottom>
      <diagonal/>
    </border>
    <border>
      <left/>
      <right/>
      <top/>
      <bottom style="thin">
        <color rgb="FFFFC00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/>
      <top style="medium">
        <color rgb="FFC00000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rgb="FFC00000"/>
      </bottom>
      <diagonal/>
    </border>
    <border>
      <left style="thin">
        <color rgb="FFC00000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rgb="FFC00000"/>
      </top>
      <bottom/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/>
      <right style="thin">
        <color rgb="FFC00000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rgb="FFC00000"/>
      </top>
      <bottom style="medium">
        <color rgb="FFC00000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92D050"/>
      </right>
      <top/>
      <bottom style="medium">
        <color auto="1"/>
      </bottom>
      <diagonal/>
    </border>
    <border>
      <left style="thin">
        <color rgb="FF92D050"/>
      </left>
      <right style="thin">
        <color rgb="FF92D050"/>
      </right>
      <top style="thin">
        <color rgb="FFC00000"/>
      </top>
      <bottom style="medium">
        <color auto="1"/>
      </bottom>
      <diagonal/>
    </border>
    <border>
      <left style="thin">
        <color rgb="FF92D05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rgb="FFFFC000"/>
      </top>
      <bottom/>
      <diagonal/>
    </border>
    <border>
      <left/>
      <right/>
      <top/>
      <bottom style="thin">
        <color rgb="FFC00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/>
      <diagonal/>
    </border>
    <border>
      <left/>
      <right style="medium">
        <color theme="9" tint="-0.24994659260841701"/>
      </right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rgb="FFC00000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 style="thin">
        <color rgb="FFC00000"/>
      </top>
      <bottom style="medium">
        <color rgb="FFC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rgb="FFFFC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0" fillId="0" borderId="0" xfId="0" applyAlignment="1" applyProtection="1"/>
    <xf numFmtId="164" fontId="0" fillId="0" borderId="0" xfId="0" applyNumberFormat="1" applyAlignment="1" applyProtection="1"/>
    <xf numFmtId="164" fontId="0" fillId="0" borderId="1" xfId="0" applyNumberFormat="1" applyBorder="1" applyAlignment="1" applyProtection="1"/>
    <xf numFmtId="0" fontId="0" fillId="0" borderId="1" xfId="0" applyBorder="1" applyAlignment="1" applyProtection="1"/>
    <xf numFmtId="0" fontId="1" fillId="2" borderId="0" xfId="0" applyFont="1" applyFill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/>
    <xf numFmtId="2" fontId="2" fillId="0" borderId="0" xfId="0" applyNumberFormat="1" applyFont="1" applyAlignment="1" applyProtection="1"/>
    <xf numFmtId="0" fontId="2" fillId="0" borderId="1" xfId="0" applyFont="1" applyBorder="1" applyAlignment="1" applyProtection="1"/>
    <xf numFmtId="0" fontId="2" fillId="4" borderId="1" xfId="0" applyFont="1" applyFill="1" applyBorder="1" applyAlignment="1" applyProtection="1"/>
    <xf numFmtId="164" fontId="0" fillId="0" borderId="0" xfId="0" applyNumberFormat="1" applyBorder="1" applyAlignment="1" applyProtection="1"/>
    <xf numFmtId="0" fontId="0" fillId="0" borderId="0" xfId="0" applyBorder="1" applyAlignment="1" applyProtection="1"/>
    <xf numFmtId="0" fontId="2" fillId="0" borderId="0" xfId="0" applyFont="1" applyBorder="1" applyAlignment="1" applyProtection="1"/>
    <xf numFmtId="164" fontId="1" fillId="0" borderId="1" xfId="0" applyNumberFormat="1" applyFont="1" applyBorder="1" applyAlignment="1" applyProtection="1"/>
    <xf numFmtId="2" fontId="2" fillId="0" borderId="1" xfId="0" applyNumberFormat="1" applyFont="1" applyBorder="1" applyAlignment="1" applyProtection="1"/>
    <xf numFmtId="2" fontId="2" fillId="5" borderId="1" xfId="0" applyNumberFormat="1" applyFont="1" applyFill="1" applyBorder="1" applyAlignment="1" applyProtection="1"/>
    <xf numFmtId="164" fontId="1" fillId="0" borderId="0" xfId="0" applyNumberFormat="1" applyFont="1" applyBorder="1" applyAlignment="1" applyProtection="1"/>
    <xf numFmtId="2" fontId="2" fillId="0" borderId="0" xfId="0" applyNumberFormat="1" applyFont="1" applyBorder="1" applyAlignment="1" applyProtection="1"/>
    <xf numFmtId="2" fontId="2" fillId="5" borderId="0" xfId="0" applyNumberFormat="1" applyFont="1" applyFill="1" applyBorder="1" applyAlignment="1" applyProtection="1"/>
    <xf numFmtId="2" fontId="2" fillId="5" borderId="0" xfId="0" applyNumberFormat="1" applyFont="1" applyFill="1" applyAlignment="1" applyProtection="1"/>
    <xf numFmtId="164" fontId="1" fillId="0" borderId="5" xfId="0" applyNumberFormat="1" applyFont="1" applyBorder="1" applyAlignment="1" applyProtection="1"/>
    <xf numFmtId="0" fontId="0" fillId="0" borderId="6" xfId="0" applyBorder="1" applyAlignment="1" applyProtection="1"/>
    <xf numFmtId="164" fontId="1" fillId="0" borderId="8" xfId="0" applyNumberFormat="1" applyFont="1" applyBorder="1" applyAlignment="1" applyProtection="1"/>
    <xf numFmtId="0" fontId="0" fillId="0" borderId="0" xfId="0" applyFont="1" applyAlignment="1" applyProtection="1"/>
    <xf numFmtId="165" fontId="0" fillId="2" borderId="0" xfId="0" applyNumberFormat="1" applyFill="1" applyAlignment="1" applyProtection="1"/>
    <xf numFmtId="2" fontId="4" fillId="0" borderId="0" xfId="0" applyNumberFormat="1" applyFont="1" applyAlignment="1" applyProtection="1"/>
    <xf numFmtId="2" fontId="4" fillId="6" borderId="2" xfId="0" applyNumberFormat="1" applyFont="1" applyFill="1" applyBorder="1" applyAlignment="1" applyProtection="1"/>
    <xf numFmtId="2" fontId="4" fillId="6" borderId="3" xfId="0" applyNumberFormat="1" applyFont="1" applyFill="1" applyBorder="1" applyAlignment="1" applyProtection="1"/>
    <xf numFmtId="165" fontId="0" fillId="2" borderId="6" xfId="0" applyNumberFormat="1" applyFill="1" applyBorder="1" applyAlignment="1" applyProtection="1"/>
    <xf numFmtId="0" fontId="0" fillId="0" borderId="6" xfId="0" applyFont="1" applyBorder="1" applyAlignment="1" applyProtection="1"/>
    <xf numFmtId="2" fontId="4" fillId="0" borderId="6" xfId="0" applyNumberFormat="1" applyFont="1" applyBorder="1" applyAlignment="1" applyProtection="1"/>
    <xf numFmtId="2" fontId="4" fillId="6" borderId="7" xfId="0" applyNumberFormat="1" applyFont="1" applyFill="1" applyBorder="1" applyAlignment="1" applyProtection="1"/>
    <xf numFmtId="0" fontId="6" fillId="0" borderId="0" xfId="0" applyFont="1" applyAlignment="1" applyProtection="1">
      <alignment horizontal="right"/>
    </xf>
    <xf numFmtId="0" fontId="5" fillId="0" borderId="0" xfId="0" applyFont="1" applyAlignment="1" applyProtection="1"/>
    <xf numFmtId="0" fontId="0" fillId="0" borderId="0" xfId="0" applyFont="1" applyBorder="1" applyAlignment="1" applyProtection="1"/>
    <xf numFmtId="2" fontId="5" fillId="0" borderId="0" xfId="0" applyNumberFormat="1" applyFont="1" applyBorder="1" applyAlignment="1" applyProtection="1"/>
    <xf numFmtId="164" fontId="0" fillId="0" borderId="5" xfId="0" applyNumberFormat="1" applyFont="1" applyBorder="1" applyAlignment="1" applyProtection="1"/>
    <xf numFmtId="0" fontId="1" fillId="0" borderId="0" xfId="0" applyFont="1" applyAlignment="1" applyProtection="1"/>
    <xf numFmtId="0" fontId="9" fillId="0" borderId="0" xfId="0" applyFont="1" applyAlignment="1" applyProtection="1">
      <alignment horizontal="center"/>
    </xf>
    <xf numFmtId="0" fontId="9" fillId="0" borderId="0" xfId="0" applyFont="1" applyAlignment="1" applyProtection="1"/>
    <xf numFmtId="164" fontId="0" fillId="0" borderId="0" xfId="0" applyNumberFormat="1" applyFont="1" applyAlignment="1" applyProtection="1"/>
    <xf numFmtId="2" fontId="0" fillId="0" borderId="0" xfId="0" applyNumberFormat="1" applyAlignment="1" applyProtection="1"/>
    <xf numFmtId="2" fontId="10" fillId="0" borderId="0" xfId="0" applyNumberFormat="1" applyFont="1" applyAlignment="1" applyProtection="1"/>
    <xf numFmtId="165" fontId="0" fillId="0" borderId="0" xfId="0" applyNumberFormat="1" applyAlignment="1" applyProtection="1"/>
    <xf numFmtId="0" fontId="6" fillId="0" borderId="0" xfId="0" applyFont="1" applyAlignment="1" applyProtection="1"/>
    <xf numFmtId="2" fontId="0" fillId="0" borderId="1" xfId="0" applyNumberFormat="1" applyBorder="1" applyAlignment="1" applyProtection="1"/>
    <xf numFmtId="2" fontId="10" fillId="0" borderId="1" xfId="0" applyNumberFormat="1" applyFont="1" applyBorder="1" applyAlignment="1" applyProtection="1"/>
    <xf numFmtId="2" fontId="0" fillId="8" borderId="1" xfId="0" applyNumberFormat="1" applyFill="1" applyBorder="1" applyAlignment="1" applyProtection="1"/>
    <xf numFmtId="165" fontId="0" fillId="0" borderId="1" xfId="0" applyNumberFormat="1" applyFont="1" applyBorder="1" applyAlignment="1" applyProtection="1"/>
    <xf numFmtId="165" fontId="1" fillId="0" borderId="0" xfId="0" applyNumberFormat="1" applyFont="1" applyAlignment="1" applyProtection="1"/>
    <xf numFmtId="2" fontId="0" fillId="0" borderId="0" xfId="0" applyNumberFormat="1" applyBorder="1" applyAlignment="1" applyProtection="1"/>
    <xf numFmtId="2" fontId="10" fillId="0" borderId="0" xfId="0" applyNumberFormat="1" applyFont="1" applyBorder="1" applyAlignment="1" applyProtection="1"/>
    <xf numFmtId="2" fontId="0" fillId="8" borderId="0" xfId="0" applyNumberFormat="1" applyFill="1" applyAlignment="1" applyProtection="1"/>
    <xf numFmtId="165" fontId="0" fillId="0" borderId="0" xfId="0" applyNumberFormat="1" applyBorder="1" applyAlignment="1" applyProtection="1"/>
    <xf numFmtId="0" fontId="11" fillId="0" borderId="0" xfId="0" applyFont="1" applyAlignment="1" applyProtection="1"/>
    <xf numFmtId="164" fontId="1" fillId="0" borderId="6" xfId="0" applyNumberFormat="1" applyFont="1" applyBorder="1" applyAlignment="1" applyProtection="1"/>
    <xf numFmtId="2" fontId="0" fillId="0" borderId="6" xfId="0" applyNumberFormat="1" applyFont="1" applyBorder="1" applyAlignment="1" applyProtection="1"/>
    <xf numFmtId="2" fontId="0" fillId="8" borderId="6" xfId="0" applyNumberFormat="1" applyFont="1" applyFill="1" applyBorder="1" applyAlignment="1" applyProtection="1"/>
    <xf numFmtId="165" fontId="0" fillId="0" borderId="6" xfId="0" applyNumberFormat="1" applyBorder="1" applyAlignment="1" applyProtection="1"/>
    <xf numFmtId="165" fontId="1" fillId="0" borderId="6" xfId="0" applyNumberFormat="1" applyFont="1" applyBorder="1" applyAlignment="1" applyProtection="1"/>
    <xf numFmtId="165" fontId="0" fillId="0" borderId="6" xfId="0" applyNumberFormat="1" applyFont="1" applyBorder="1" applyAlignment="1" applyProtection="1"/>
    <xf numFmtId="164" fontId="12" fillId="0" borderId="0" xfId="0" applyNumberFormat="1" applyFont="1" applyBorder="1" applyAlignment="1" applyProtection="1"/>
    <xf numFmtId="2" fontId="12" fillId="0" borderId="0" xfId="0" applyNumberFormat="1" applyFont="1" applyBorder="1" applyAlignment="1" applyProtection="1"/>
    <xf numFmtId="2" fontId="12" fillId="0" borderId="0" xfId="0" applyNumberFormat="1" applyFont="1" applyAlignment="1" applyProtection="1"/>
    <xf numFmtId="0" fontId="1" fillId="0" borderId="0" xfId="0" applyFont="1" applyAlignment="1" applyProtection="1">
      <alignment horizontal="left"/>
    </xf>
    <xf numFmtId="0" fontId="1" fillId="0" borderId="11" xfId="0" applyFont="1" applyBorder="1" applyAlignment="1" applyProtection="1">
      <alignment horizontal="center" vertical="center"/>
    </xf>
    <xf numFmtId="165" fontId="0" fillId="0" borderId="11" xfId="0" applyNumberFormat="1" applyBorder="1" applyAlignment="1" applyProtection="1">
      <alignment horizontal="center" vertical="top"/>
    </xf>
    <xf numFmtId="0" fontId="0" fillId="0" borderId="11" xfId="0" applyBorder="1" applyAlignment="1" applyProtection="1"/>
    <xf numFmtId="0" fontId="1" fillId="0" borderId="0" xfId="0" applyFont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0" fillId="0" borderId="12" xfId="0" applyBorder="1" applyAlignment="1" applyProtection="1"/>
    <xf numFmtId="166" fontId="3" fillId="0" borderId="0" xfId="0" applyNumberFormat="1" applyFont="1" applyAlignment="1" applyProtection="1"/>
    <xf numFmtId="0" fontId="3" fillId="0" borderId="0" xfId="0" applyFont="1" applyAlignment="1" applyProtection="1"/>
    <xf numFmtId="0" fontId="14" fillId="0" borderId="0" xfId="0" applyFont="1" applyAlignment="1" applyProtection="1">
      <alignment horizontal="right"/>
    </xf>
    <xf numFmtId="165" fontId="3" fillId="0" borderId="0" xfId="0" applyNumberFormat="1" applyFont="1" applyAlignment="1" applyProtection="1"/>
    <xf numFmtId="0" fontId="15" fillId="0" borderId="0" xfId="0" applyFont="1" applyAlignment="1" applyProtection="1">
      <alignment horizontal="right"/>
    </xf>
    <xf numFmtId="165" fontId="0" fillId="0" borderId="0" xfId="0" applyNumberFormat="1" applyAlignment="1" applyProtection="1">
      <alignment horizontal="right"/>
    </xf>
    <xf numFmtId="166" fontId="1" fillId="0" borderId="0" xfId="0" applyNumberFormat="1" applyFont="1" applyAlignment="1" applyProtection="1"/>
    <xf numFmtId="0" fontId="16" fillId="0" borderId="0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top"/>
    </xf>
    <xf numFmtId="165" fontId="0" fillId="0" borderId="0" xfId="0" applyNumberFormat="1" applyBorder="1" applyAlignment="1" applyProtection="1">
      <alignment horizontal="center" vertical="top"/>
    </xf>
    <xf numFmtId="0" fontId="8" fillId="0" borderId="11" xfId="0" applyFont="1" applyBorder="1" applyAlignment="1" applyProtection="1">
      <alignment horizontal="center" vertical="top"/>
    </xf>
    <xf numFmtId="0" fontId="0" fillId="0" borderId="11" xfId="0" applyFont="1" applyBorder="1" applyAlignment="1" applyProtection="1">
      <alignment horizontal="center" vertical="top"/>
    </xf>
    <xf numFmtId="0" fontId="0" fillId="0" borderId="11" xfId="0" applyFont="1" applyBorder="1" applyAlignment="1" applyProtection="1">
      <alignment horizontal="right" vertical="top"/>
    </xf>
    <xf numFmtId="165" fontId="1" fillId="0" borderId="11" xfId="0" applyNumberFormat="1" applyFont="1" applyBorder="1" applyAlignment="1" applyProtection="1">
      <alignment horizontal="center" vertical="top"/>
    </xf>
    <xf numFmtId="165" fontId="0" fillId="0" borderId="11" xfId="0" applyNumberFormat="1" applyFont="1" applyBorder="1" applyAlignment="1" applyProtection="1">
      <alignment horizontal="center" vertical="top"/>
    </xf>
    <xf numFmtId="0" fontId="0" fillId="0" borderId="0" xfId="0" applyFont="1" applyBorder="1" applyAlignment="1" applyProtection="1">
      <alignment horizontal="center" vertical="top"/>
    </xf>
    <xf numFmtId="49" fontId="0" fillId="0" borderId="0" xfId="0" applyNumberFormat="1" applyFont="1" applyBorder="1" applyAlignment="1" applyProtection="1">
      <alignment horizontal="right" vertical="top"/>
    </xf>
    <xf numFmtId="0" fontId="17" fillId="0" borderId="0" xfId="0" applyFont="1" applyAlignment="1" applyProtection="1"/>
    <xf numFmtId="166" fontId="1" fillId="10" borderId="0" xfId="0" applyNumberFormat="1" applyFont="1" applyFill="1" applyAlignment="1" applyProtection="1">
      <alignment horizontal="center"/>
    </xf>
    <xf numFmtId="166" fontId="1" fillId="9" borderId="0" xfId="0" applyNumberFormat="1" applyFont="1" applyFill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66" fontId="1" fillId="7" borderId="0" xfId="0" applyNumberFormat="1" applyFont="1" applyFill="1" applyAlignment="1" applyProtection="1">
      <alignment horizontal="center"/>
    </xf>
    <xf numFmtId="0" fontId="16" fillId="0" borderId="0" xfId="0" applyFont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0" fillId="0" borderId="16" xfId="0" applyBorder="1" applyAlignment="1" applyProtection="1"/>
    <xf numFmtId="0" fontId="0" fillId="0" borderId="15" xfId="0" applyBorder="1" applyAlignment="1" applyProtection="1"/>
    <xf numFmtId="0" fontId="0" fillId="0" borderId="13" xfId="0" applyBorder="1" applyAlignment="1" applyProtection="1"/>
    <xf numFmtId="166" fontId="7" fillId="12" borderId="17" xfId="0" applyNumberFormat="1" applyFont="1" applyFill="1" applyBorder="1" applyAlignment="1" applyProtection="1"/>
    <xf numFmtId="0" fontId="1" fillId="3" borderId="0" xfId="0" applyFont="1" applyFill="1" applyBorder="1" applyAlignment="1" applyProtection="1"/>
    <xf numFmtId="0" fontId="18" fillId="0" borderId="0" xfId="0" applyFont="1" applyAlignment="1" applyProtection="1"/>
    <xf numFmtId="0" fontId="19" fillId="0" borderId="0" xfId="0" applyFont="1" applyAlignment="1" applyProtection="1">
      <alignment horizontal="righ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right"/>
    </xf>
    <xf numFmtId="0" fontId="18" fillId="0" borderId="0" xfId="0" applyFont="1"/>
    <xf numFmtId="2" fontId="0" fillId="0" borderId="0" xfId="0" applyNumberFormat="1" applyAlignment="1" applyProtection="1">
      <alignment horizontal="center"/>
    </xf>
    <xf numFmtId="2" fontId="18" fillId="14" borderId="0" xfId="0" applyNumberFormat="1" applyFont="1" applyFill="1" applyAlignment="1" applyProtection="1">
      <alignment horizontal="center"/>
    </xf>
    <xf numFmtId="2" fontId="18" fillId="12" borderId="0" xfId="0" applyNumberFormat="1" applyFont="1" applyFill="1" applyAlignment="1" applyProtection="1">
      <alignment horizontal="center"/>
    </xf>
    <xf numFmtId="0" fontId="18" fillId="12" borderId="0" xfId="0" applyFont="1" applyFill="1" applyAlignment="1" applyProtection="1">
      <alignment horizontal="center"/>
    </xf>
    <xf numFmtId="0" fontId="21" fillId="0" borderId="0" xfId="0" applyFont="1" applyAlignment="1" applyProtection="1">
      <alignment horizontal="center"/>
    </xf>
    <xf numFmtId="0" fontId="21" fillId="0" borderId="0" xfId="0" applyFont="1" applyAlignment="1" applyProtection="1"/>
    <xf numFmtId="167" fontId="0" fillId="0" borderId="0" xfId="0" applyNumberFormat="1" applyAlignment="1" applyProtection="1"/>
    <xf numFmtId="167" fontId="0" fillId="0" borderId="1" xfId="0" applyNumberFormat="1" applyFont="1" applyBorder="1" applyAlignment="1" applyProtection="1"/>
    <xf numFmtId="167" fontId="0" fillId="0" borderId="6" xfId="0" applyNumberFormat="1" applyBorder="1" applyAlignment="1" applyProtection="1"/>
    <xf numFmtId="165" fontId="22" fillId="0" borderId="1" xfId="0" applyNumberFormat="1" applyFont="1" applyBorder="1" applyAlignment="1" applyProtection="1"/>
    <xf numFmtId="164" fontId="23" fillId="0" borderId="0" xfId="0" applyNumberFormat="1" applyFont="1" applyAlignment="1" applyProtection="1"/>
    <xf numFmtId="2" fontId="23" fillId="0" borderId="0" xfId="0" applyNumberFormat="1" applyFont="1" applyAlignment="1" applyProtection="1"/>
    <xf numFmtId="165" fontId="23" fillId="0" borderId="0" xfId="0" applyNumberFormat="1" applyFont="1" applyAlignment="1" applyProtection="1"/>
    <xf numFmtId="167" fontId="23" fillId="0" borderId="0" xfId="0" applyNumberFormat="1" applyFont="1" applyAlignment="1" applyProtection="1"/>
    <xf numFmtId="165" fontId="23" fillId="0" borderId="6" xfId="0" applyNumberFormat="1" applyFont="1" applyBorder="1" applyAlignment="1" applyProtection="1"/>
    <xf numFmtId="166" fontId="7" fillId="0" borderId="0" xfId="0" applyNumberFormat="1" applyFont="1" applyBorder="1" applyAlignment="1" applyProtection="1"/>
    <xf numFmtId="165" fontId="0" fillId="3" borderId="0" xfId="0" applyNumberFormat="1" applyFill="1" applyAlignment="1" applyProtection="1"/>
    <xf numFmtId="165" fontId="0" fillId="11" borderId="0" xfId="0" applyNumberFormat="1" applyFill="1" applyAlignment="1" applyProtection="1"/>
    <xf numFmtId="165" fontId="5" fillId="0" borderId="0" xfId="0" applyNumberFormat="1" applyFont="1" applyAlignment="1" applyProtection="1"/>
    <xf numFmtId="165" fontId="0" fillId="3" borderId="0" xfId="0" applyNumberFormat="1" applyFill="1" applyBorder="1" applyAlignment="1" applyProtection="1"/>
    <xf numFmtId="165" fontId="0" fillId="11" borderId="0" xfId="0" applyNumberFormat="1" applyFill="1" applyBorder="1" applyAlignment="1" applyProtection="1"/>
    <xf numFmtId="2" fontId="0" fillId="6" borderId="0" xfId="0" applyNumberFormat="1" applyFill="1" applyAlignment="1" applyProtection="1"/>
    <xf numFmtId="2" fontId="2" fillId="0" borderId="15" xfId="0" applyNumberFormat="1" applyFont="1" applyBorder="1" applyAlignment="1" applyProtection="1"/>
    <xf numFmtId="2" fontId="0" fillId="0" borderId="15" xfId="0" applyNumberFormat="1" applyBorder="1" applyAlignment="1" applyProtection="1"/>
    <xf numFmtId="2" fontId="0" fillId="0" borderId="13" xfId="0" applyNumberFormat="1" applyBorder="1" applyAlignment="1" applyProtection="1"/>
    <xf numFmtId="165" fontId="0" fillId="0" borderId="8" xfId="0" applyNumberFormat="1" applyBorder="1" applyAlignment="1" applyProtection="1"/>
    <xf numFmtId="165" fontId="0" fillId="0" borderId="5" xfId="0" applyNumberFormat="1" applyBorder="1" applyAlignment="1" applyProtection="1"/>
    <xf numFmtId="2" fontId="2" fillId="0" borderId="6" xfId="0" applyNumberFormat="1" applyFont="1" applyBorder="1" applyAlignment="1" applyProtection="1"/>
    <xf numFmtId="2" fontId="0" fillId="0" borderId="6" xfId="0" applyNumberFormat="1" applyBorder="1" applyAlignment="1" applyProtection="1"/>
    <xf numFmtId="165" fontId="0" fillId="0" borderId="0" xfId="0" applyNumberFormat="1" applyFill="1" applyAlignment="1" applyProtection="1"/>
    <xf numFmtId="0" fontId="0" fillId="0" borderId="20" xfId="0" applyBorder="1" applyAlignment="1" applyProtection="1"/>
    <xf numFmtId="0" fontId="6" fillId="0" borderId="0" xfId="0" applyFont="1" applyBorder="1" applyAlignment="1" applyProtection="1">
      <alignment horizontal="right"/>
    </xf>
    <xf numFmtId="0" fontId="20" fillId="0" borderId="0" xfId="0" applyFont="1" applyBorder="1" applyAlignment="1" applyProtection="1"/>
    <xf numFmtId="0" fontId="1" fillId="0" borderId="0" xfId="0" applyFont="1" applyBorder="1" applyAlignment="1" applyProtection="1">
      <alignment horizontal="center"/>
    </xf>
    <xf numFmtId="0" fontId="2" fillId="0" borderId="22" xfId="0" applyFont="1" applyBorder="1" applyAlignment="1" applyProtection="1"/>
    <xf numFmtId="165" fontId="0" fillId="2" borderId="0" xfId="0" applyNumberFormat="1" applyFill="1" applyBorder="1" applyAlignment="1" applyProtection="1"/>
    <xf numFmtId="2" fontId="0" fillId="6" borderId="0" xfId="0" applyNumberFormat="1" applyFill="1" applyBorder="1" applyAlignment="1" applyProtection="1"/>
    <xf numFmtId="165" fontId="0" fillId="0" borderId="16" xfId="0" applyNumberFormat="1" applyBorder="1" applyAlignment="1" applyProtection="1"/>
    <xf numFmtId="165" fontId="0" fillId="0" borderId="15" xfId="0" applyNumberFormat="1" applyBorder="1" applyAlignment="1" applyProtection="1"/>
    <xf numFmtId="165" fontId="0" fillId="0" borderId="0" xfId="0" applyNumberFormat="1" applyFill="1" applyBorder="1" applyAlignment="1" applyProtection="1"/>
    <xf numFmtId="165" fontId="0" fillId="0" borderId="13" xfId="0" applyNumberFormat="1" applyBorder="1" applyAlignment="1" applyProtection="1"/>
    <xf numFmtId="0" fontId="0" fillId="0" borderId="21" xfId="0" applyBorder="1" applyAlignment="1" applyProtection="1"/>
    <xf numFmtId="0" fontId="0" fillId="0" borderId="23" xfId="0" applyBorder="1" applyAlignment="1" applyProtection="1"/>
    <xf numFmtId="166" fontId="7" fillId="0" borderId="24" xfId="0" applyNumberFormat="1" applyFont="1" applyFill="1" applyBorder="1" applyAlignment="1" applyProtection="1"/>
    <xf numFmtId="0" fontId="0" fillId="0" borderId="25" xfId="0" applyBorder="1" applyAlignment="1" applyProtection="1"/>
    <xf numFmtId="166" fontId="7" fillId="0" borderId="26" xfId="0" applyNumberFormat="1" applyFont="1" applyFill="1" applyBorder="1" applyAlignment="1" applyProtection="1"/>
    <xf numFmtId="0" fontId="1" fillId="2" borderId="27" xfId="0" applyFont="1" applyFill="1" applyBorder="1" applyAlignment="1" applyProtection="1">
      <alignment horizontal="center"/>
    </xf>
    <xf numFmtId="0" fontId="1" fillId="0" borderId="20" xfId="0" applyFont="1" applyBorder="1" applyAlignment="1" applyProtection="1">
      <alignment horizontal="center"/>
    </xf>
    <xf numFmtId="0" fontId="0" fillId="0" borderId="28" xfId="0" applyBorder="1" applyAlignment="1" applyProtection="1"/>
    <xf numFmtId="166" fontId="7" fillId="0" borderId="11" xfId="0" applyNumberFormat="1" applyFont="1" applyBorder="1" applyAlignment="1" applyProtection="1"/>
    <xf numFmtId="2" fontId="0" fillId="6" borderId="6" xfId="0" applyNumberFormat="1" applyFill="1" applyBorder="1" applyAlignment="1" applyProtection="1"/>
    <xf numFmtId="2" fontId="0" fillId="0" borderId="29" xfId="0" applyNumberFormat="1" applyBorder="1" applyAlignment="1" applyProtection="1"/>
    <xf numFmtId="2" fontId="0" fillId="3" borderId="1" xfId="0" applyNumberFormat="1" applyFill="1" applyBorder="1" applyAlignment="1" applyProtection="1"/>
    <xf numFmtId="2" fontId="2" fillId="5" borderId="30" xfId="0" applyNumberFormat="1" applyFont="1" applyFill="1" applyBorder="1" applyAlignment="1" applyProtection="1"/>
    <xf numFmtId="2" fontId="2" fillId="4" borderId="1" xfId="0" applyNumberFormat="1" applyFont="1" applyFill="1" applyBorder="1" applyAlignment="1" applyProtection="1"/>
    <xf numFmtId="0" fontId="24" fillId="0" borderId="0" xfId="0" applyFont="1" applyBorder="1" applyAlignment="1" applyProtection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165" fontId="0" fillId="0" borderId="0" xfId="0" applyNumberFormat="1" applyFont="1" applyBorder="1" applyAlignment="1" applyProtection="1"/>
    <xf numFmtId="165" fontId="0" fillId="0" borderId="0" xfId="0" applyNumberFormat="1" applyFont="1" applyAlignment="1" applyProtection="1"/>
    <xf numFmtId="165" fontId="22" fillId="4" borderId="0" xfId="0" applyNumberFormat="1" applyFont="1" applyFill="1" applyBorder="1" applyAlignment="1" applyProtection="1"/>
    <xf numFmtId="0" fontId="25" fillId="0" borderId="0" xfId="0" applyFont="1" applyBorder="1" applyAlignment="1" applyProtection="1">
      <alignment horizontal="right"/>
    </xf>
    <xf numFmtId="0" fontId="1" fillId="15" borderId="0" xfId="0" applyFont="1" applyFill="1" applyBorder="1" applyAlignment="1" applyProtection="1"/>
    <xf numFmtId="166" fontId="1" fillId="15" borderId="0" xfId="0" applyNumberFormat="1" applyFont="1" applyFill="1" applyBorder="1" applyAlignment="1" applyProtection="1"/>
    <xf numFmtId="166" fontId="1" fillId="15" borderId="9" xfId="0" applyNumberFormat="1" applyFont="1" applyFill="1" applyBorder="1" applyAlignment="1" applyProtection="1"/>
    <xf numFmtId="166" fontId="1" fillId="16" borderId="9" xfId="0" applyNumberFormat="1" applyFont="1" applyFill="1" applyBorder="1" applyAlignment="1" applyProtection="1"/>
    <xf numFmtId="166" fontId="1" fillId="15" borderId="18" xfId="0" applyNumberFormat="1" applyFont="1" applyFill="1" applyBorder="1" applyAlignment="1" applyProtection="1"/>
    <xf numFmtId="166" fontId="1" fillId="15" borderId="14" xfId="0" applyNumberFormat="1" applyFont="1" applyFill="1" applyBorder="1" applyAlignment="1" applyProtection="1"/>
    <xf numFmtId="0" fontId="0" fillId="0" borderId="33" xfId="0" applyBorder="1" applyAlignment="1" applyProtection="1"/>
    <xf numFmtId="0" fontId="0" fillId="0" borderId="34" xfId="0" applyBorder="1" applyAlignment="1" applyProtection="1"/>
    <xf numFmtId="166" fontId="1" fillId="3" borderId="33" xfId="0" applyNumberFormat="1" applyFont="1" applyFill="1" applyBorder="1" applyAlignment="1" applyProtection="1"/>
    <xf numFmtId="166" fontId="1" fillId="3" borderId="34" xfId="0" applyNumberFormat="1" applyFont="1" applyFill="1" applyBorder="1" applyAlignment="1" applyProtection="1"/>
    <xf numFmtId="0" fontId="0" fillId="0" borderId="35" xfId="0" applyBorder="1" applyAlignment="1" applyProtection="1"/>
    <xf numFmtId="0" fontId="0" fillId="0" borderId="39" xfId="0" applyBorder="1" applyAlignment="1" applyProtection="1"/>
    <xf numFmtId="0" fontId="0" fillId="0" borderId="40" xfId="0" applyBorder="1" applyAlignment="1" applyProtection="1"/>
    <xf numFmtId="166" fontId="1" fillId="3" borderId="39" xfId="0" applyNumberFormat="1" applyFont="1" applyFill="1" applyBorder="1" applyAlignment="1" applyProtection="1"/>
    <xf numFmtId="166" fontId="1" fillId="3" borderId="40" xfId="0" applyNumberFormat="1" applyFont="1" applyFill="1" applyBorder="1" applyAlignment="1" applyProtection="1"/>
    <xf numFmtId="166" fontId="7" fillId="7" borderId="36" xfId="0" applyNumberFormat="1" applyFont="1" applyFill="1" applyBorder="1" applyAlignment="1" applyProtection="1"/>
    <xf numFmtId="0" fontId="0" fillId="0" borderId="42" xfId="0" applyBorder="1" applyAlignment="1" applyProtection="1"/>
    <xf numFmtId="166" fontId="1" fillId="17" borderId="10" xfId="0" applyNumberFormat="1" applyFont="1" applyFill="1" applyBorder="1" applyAlignment="1" applyProtection="1"/>
    <xf numFmtId="166" fontId="1" fillId="18" borderId="9" xfId="0" applyNumberFormat="1" applyFont="1" applyFill="1" applyBorder="1" applyAlignment="1" applyProtection="1"/>
    <xf numFmtId="165" fontId="4" fillId="6" borderId="41" xfId="0" applyNumberFormat="1" applyFont="1" applyFill="1" applyBorder="1" applyAlignment="1" applyProtection="1"/>
    <xf numFmtId="165" fontId="4" fillId="6" borderId="43" xfId="0" applyNumberFormat="1" applyFont="1" applyFill="1" applyBorder="1" applyAlignment="1" applyProtection="1"/>
    <xf numFmtId="165" fontId="4" fillId="6" borderId="44" xfId="0" applyNumberFormat="1" applyFont="1" applyFill="1" applyBorder="1" applyAlignment="1" applyProtection="1"/>
    <xf numFmtId="165" fontId="5" fillId="0" borderId="31" xfId="0" applyNumberFormat="1" applyFont="1" applyBorder="1" applyAlignment="1" applyProtection="1"/>
    <xf numFmtId="165" fontId="5" fillId="0" borderId="33" xfId="0" applyNumberFormat="1" applyFont="1" applyBorder="1" applyAlignment="1" applyProtection="1"/>
    <xf numFmtId="165" fontId="5" fillId="0" borderId="32" xfId="0" applyNumberFormat="1" applyFont="1" applyBorder="1" applyAlignment="1" applyProtection="1"/>
    <xf numFmtId="165" fontId="5" fillId="0" borderId="34" xfId="0" applyNumberFormat="1" applyFont="1" applyBorder="1" applyAlignment="1" applyProtection="1"/>
    <xf numFmtId="2" fontId="5" fillId="0" borderId="37" xfId="0" applyNumberFormat="1" applyFont="1" applyBorder="1" applyAlignment="1" applyProtection="1"/>
    <xf numFmtId="2" fontId="5" fillId="0" borderId="38" xfId="0" applyNumberFormat="1" applyFont="1" applyBorder="1" applyAlignment="1" applyProtection="1"/>
    <xf numFmtId="2" fontId="5" fillId="0" borderId="39" xfId="0" applyNumberFormat="1" applyFont="1" applyBorder="1" applyAlignment="1" applyProtection="1"/>
    <xf numFmtId="2" fontId="5" fillId="0" borderId="40" xfId="0" applyNumberFormat="1" applyFont="1" applyBorder="1" applyAlignment="1" applyProtection="1"/>
    <xf numFmtId="2" fontId="2" fillId="0" borderId="4" xfId="0" applyNumberFormat="1" applyFont="1" applyBorder="1" applyAlignment="1" applyProtection="1"/>
    <xf numFmtId="2" fontId="0" fillId="0" borderId="8" xfId="0" applyNumberFormat="1" applyBorder="1" applyAlignment="1" applyProtection="1"/>
    <xf numFmtId="2" fontId="4" fillId="0" borderId="41" xfId="0" applyNumberFormat="1" applyFont="1" applyBorder="1" applyAlignment="1" applyProtection="1"/>
    <xf numFmtId="2" fontId="4" fillId="0" borderId="43" xfId="0" applyNumberFormat="1" applyFont="1" applyBorder="1" applyAlignment="1" applyProtection="1"/>
    <xf numFmtId="165" fontId="4" fillId="0" borderId="43" xfId="0" applyNumberFormat="1" applyFont="1" applyBorder="1" applyAlignment="1" applyProtection="1"/>
    <xf numFmtId="165" fontId="4" fillId="0" borderId="45" xfId="0" applyNumberFormat="1" applyFont="1" applyBorder="1" applyAlignment="1" applyProtection="1"/>
    <xf numFmtId="0" fontId="0" fillId="0" borderId="19" xfId="0" applyBorder="1" applyAlignment="1" applyProtection="1"/>
    <xf numFmtId="165" fontId="10" fillId="19" borderId="11" xfId="0" applyNumberFormat="1" applyFont="1" applyFill="1" applyBorder="1" applyAlignment="1" applyProtection="1">
      <alignment horizontal="center"/>
    </xf>
    <xf numFmtId="165" fontId="10" fillId="19" borderId="0" xfId="0" applyNumberFormat="1" applyFont="1" applyFill="1" applyBorder="1" applyAlignment="1" applyProtection="1">
      <alignment horizontal="center"/>
    </xf>
    <xf numFmtId="165" fontId="0" fillId="13" borderId="11" xfId="0" applyNumberFormat="1" applyFill="1" applyBorder="1" applyAlignment="1" applyProtection="1">
      <alignment horizontal="center"/>
    </xf>
    <xf numFmtId="165" fontId="0" fillId="13" borderId="0" xfId="0" applyNumberFormat="1" applyFill="1" applyBorder="1" applyAlignment="1" applyProtection="1">
      <alignment horizontal="center"/>
    </xf>
    <xf numFmtId="165" fontId="0" fillId="13" borderId="12" xfId="0" applyNumberFormat="1" applyFill="1" applyBorder="1" applyAlignment="1" applyProtection="1">
      <alignment horizontal="center"/>
    </xf>
    <xf numFmtId="165" fontId="0" fillId="14" borderId="11" xfId="0" applyNumberFormat="1" applyFill="1" applyBorder="1" applyAlignment="1" applyProtection="1">
      <alignment horizontal="center"/>
    </xf>
    <xf numFmtId="165" fontId="0" fillId="0" borderId="11" xfId="0" applyNumberFormat="1" applyBorder="1" applyAlignment="1" applyProtection="1">
      <alignment horizontal="center"/>
    </xf>
    <xf numFmtId="165" fontId="0" fillId="14" borderId="0" xfId="0" applyNumberFormat="1" applyFill="1" applyBorder="1" applyAlignment="1" applyProtection="1">
      <alignment horizontal="center"/>
    </xf>
    <xf numFmtId="165" fontId="0" fillId="0" borderId="0" xfId="0" applyNumberFormat="1" applyBorder="1" applyAlignment="1" applyProtection="1">
      <alignment horizontal="center"/>
    </xf>
    <xf numFmtId="165" fontId="0" fillId="14" borderId="12" xfId="0" applyNumberFormat="1" applyFill="1" applyBorder="1" applyAlignment="1" applyProtection="1">
      <alignment horizontal="center"/>
    </xf>
    <xf numFmtId="165" fontId="0" fillId="0" borderId="12" xfId="0" applyNumberFormat="1" applyBorder="1" applyAlignment="1" applyProtection="1">
      <alignment horizontal="center"/>
    </xf>
    <xf numFmtId="0" fontId="18" fillId="12" borderId="0" xfId="0" applyFont="1" applyFill="1" applyAlignment="1">
      <alignment horizontal="center"/>
    </xf>
    <xf numFmtId="0" fontId="18" fillId="14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6" fontId="3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20" fillId="0" borderId="0" xfId="0" applyFont="1" applyAlignment="1" applyProtection="1"/>
    <xf numFmtId="0" fontId="0" fillId="0" borderId="0" xfId="0" applyAlignment="1" applyProtection="1">
      <alignment vertical="center"/>
    </xf>
    <xf numFmtId="0" fontId="20" fillId="0" borderId="47" xfId="0" applyFont="1" applyBorder="1" applyAlignment="1" applyProtection="1"/>
    <xf numFmtId="0" fontId="0" fillId="0" borderId="47" xfId="0" applyBorder="1" applyAlignment="1" applyProtection="1"/>
    <xf numFmtId="0" fontId="0" fillId="0" borderId="49" xfId="0" applyBorder="1" applyAlignment="1" applyProtection="1"/>
    <xf numFmtId="0" fontId="21" fillId="0" borderId="48" xfId="0" applyFont="1" applyBorder="1" applyAlignment="1" applyProtection="1">
      <alignment horizontal="right"/>
    </xf>
    <xf numFmtId="166" fontId="18" fillId="0" borderId="9" xfId="0" applyNumberFormat="1" applyFont="1" applyBorder="1" applyAlignment="1" applyProtection="1"/>
    <xf numFmtId="0" fontId="2" fillId="0" borderId="0" xfId="0" applyFont="1" applyBorder="1" applyAlignment="1" applyProtection="1">
      <alignment horizontal="center" vertical="top" wrapText="1"/>
    </xf>
    <xf numFmtId="0" fontId="3" fillId="0" borderId="0" xfId="0" applyFont="1" applyBorder="1" applyAlignment="1" applyProtection="1">
      <alignment horizontal="center" vertical="top" wrapText="1"/>
    </xf>
    <xf numFmtId="0" fontId="5" fillId="0" borderId="0" xfId="0" applyFont="1" applyBorder="1" applyAlignment="1" applyProtection="1">
      <alignment horizontal="center" vertical="top" wrapText="1"/>
    </xf>
    <xf numFmtId="0" fontId="8" fillId="0" borderId="15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horizontal="center" vertical="top" wrapText="1"/>
    </xf>
    <xf numFmtId="0" fontId="0" fillId="0" borderId="0" xfId="0" applyAlignment="1">
      <alignment horizontal="center" vertical="top" wrapText="1"/>
    </xf>
    <xf numFmtId="0" fontId="13" fillId="0" borderId="0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165" fontId="0" fillId="0" borderId="11" xfId="0" applyNumberFormat="1" applyBorder="1" applyAlignment="1" applyProtection="1">
      <alignment horizontal="center" vertical="top"/>
    </xf>
    <xf numFmtId="165" fontId="0" fillId="0" borderId="46" xfId="0" applyNumberFormat="1" applyBorder="1" applyAlignment="1" applyProtection="1">
      <alignment horizontal="center" vertical="top"/>
    </xf>
    <xf numFmtId="165" fontId="0" fillId="0" borderId="12" xfId="0" applyNumberFormat="1" applyBorder="1" applyAlignment="1" applyProtection="1">
      <alignment horizontal="center" vertical="top"/>
    </xf>
    <xf numFmtId="165" fontId="22" fillId="0" borderId="12" xfId="0" applyNumberFormat="1" applyFont="1" applyBorder="1" applyAlignment="1" applyProtection="1">
      <alignment horizontal="center" vertical="top"/>
    </xf>
    <xf numFmtId="0" fontId="1" fillId="0" borderId="12" xfId="0" applyFont="1" applyBorder="1" applyAlignment="1" applyProtection="1">
      <alignment horizontal="center" vertical="center"/>
    </xf>
    <xf numFmtId="165" fontId="0" fillId="0" borderId="0" xfId="0" applyNumberFormat="1" applyBorder="1" applyAlignment="1" applyProtection="1">
      <alignment horizontal="center" vertical="top"/>
    </xf>
    <xf numFmtId="0" fontId="16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right"/>
    </xf>
    <xf numFmtId="0" fontId="16" fillId="0" borderId="0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top"/>
    </xf>
    <xf numFmtId="0" fontId="3" fillId="0" borderId="0" xfId="0" applyFont="1" applyBorder="1" applyAlignment="1" applyProtection="1"/>
    <xf numFmtId="0" fontId="12" fillId="0" borderId="0" xfId="0" applyFont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008080"/>
      <rgbColor rgb="FFC5E0B4"/>
      <rgbColor rgb="FF767171"/>
      <rgbColor rgb="FF9999FF"/>
      <rgbColor rgb="FF993366"/>
      <rgbColor rgb="FFFFF2CC"/>
      <rgbColor rgb="FFCCFFFF"/>
      <rgbColor rgb="FF660066"/>
      <rgbColor rgb="FFFF6D6D"/>
      <rgbColor rgb="FF0066CC"/>
      <rgbColor rgb="FFBBE33D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CCFF"/>
      <rgbColor rgb="FFCCFFFF"/>
      <rgbColor rgb="FFFFE699"/>
      <rgbColor rgb="FFFFFF6D"/>
      <rgbColor rgb="FF99CCFF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A1A"/>
      <color rgb="FFFFFF99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0"/>
  <sheetViews>
    <sheetView tabSelected="1" zoomScaleNormal="100" workbookViewId="0">
      <selection activeCell="A4" sqref="A4"/>
    </sheetView>
  </sheetViews>
  <sheetFormatPr defaultColWidth="11.5703125" defaultRowHeight="12.75" x14ac:dyDescent="0.2"/>
  <cols>
    <col min="1" max="2" width="12.7109375" style="1" customWidth="1"/>
    <col min="3" max="3" width="10.28515625" style="1" customWidth="1"/>
    <col min="4" max="4" width="9.85546875" style="1" customWidth="1"/>
    <col min="5" max="5" width="8.42578125" style="1" customWidth="1"/>
    <col min="6" max="6" width="6.85546875" style="1" customWidth="1"/>
    <col min="7" max="7" width="16.7109375" style="1" customWidth="1"/>
    <col min="8" max="8" width="17.42578125" style="1" customWidth="1"/>
    <col min="9" max="11" width="13.42578125" style="1" customWidth="1"/>
    <col min="12" max="13" width="16.7109375" style="1" customWidth="1"/>
    <col min="14" max="14" width="14.5703125" style="1" customWidth="1"/>
    <col min="15" max="17" width="16" style="1" customWidth="1"/>
  </cols>
  <sheetData>
    <row r="1" spans="1:11" x14ac:dyDescent="0.2">
      <c r="A1" s="226" t="s">
        <v>96</v>
      </c>
    </row>
    <row r="2" spans="1:11" x14ac:dyDescent="0.2">
      <c r="A2" s="1" t="s">
        <v>90</v>
      </c>
      <c r="B2" s="1" t="s">
        <v>97</v>
      </c>
    </row>
    <row r="3" spans="1:11" x14ac:dyDescent="0.2">
      <c r="A3" s="1" t="s">
        <v>91</v>
      </c>
      <c r="B3" s="1" t="s">
        <v>94</v>
      </c>
    </row>
    <row r="5" spans="1:11" x14ac:dyDescent="0.2">
      <c r="A5" s="226" t="s">
        <v>92</v>
      </c>
    </row>
    <row r="6" spans="1:11" x14ac:dyDescent="0.2">
      <c r="A6" s="1" t="s">
        <v>89</v>
      </c>
      <c r="K6" s="1" t="s">
        <v>88</v>
      </c>
    </row>
    <row r="7" spans="1:11" x14ac:dyDescent="0.2">
      <c r="A7" s="1" t="s">
        <v>0</v>
      </c>
    </row>
    <row r="8" spans="1:11" x14ac:dyDescent="0.2">
      <c r="A8" s="1" t="s">
        <v>1</v>
      </c>
    </row>
    <row r="9" spans="1:11" x14ac:dyDescent="0.2">
      <c r="A9" s="1" t="s">
        <v>2</v>
      </c>
    </row>
    <row r="10" spans="1:11" x14ac:dyDescent="0.2">
      <c r="A10" s="1" t="s">
        <v>3</v>
      </c>
    </row>
    <row r="11" spans="1:11" x14ac:dyDescent="0.2">
      <c r="A11" s="1" t="s">
        <v>4</v>
      </c>
    </row>
    <row r="12" spans="1:11" x14ac:dyDescent="0.2">
      <c r="A12" s="1" t="s">
        <v>5</v>
      </c>
    </row>
    <row r="13" spans="1:11" x14ac:dyDescent="0.2">
      <c r="A13" s="1" t="s">
        <v>6</v>
      </c>
    </row>
    <row r="14" spans="1:11" x14ac:dyDescent="0.2">
      <c r="A14" s="1" t="s">
        <v>7</v>
      </c>
    </row>
    <row r="15" spans="1:11" x14ac:dyDescent="0.2">
      <c r="A15" s="1" t="s">
        <v>8</v>
      </c>
    </row>
    <row r="16" spans="1:11" x14ac:dyDescent="0.2">
      <c r="A16" s="1" t="s">
        <v>9</v>
      </c>
    </row>
    <row r="18" spans="1:6" x14ac:dyDescent="0.2">
      <c r="A18" s="226" t="s">
        <v>95</v>
      </c>
    </row>
    <row r="19" spans="1:6" ht="15" customHeight="1" x14ac:dyDescent="0.2">
      <c r="A19" s="227" t="s">
        <v>10</v>
      </c>
      <c r="B19" s="227" t="s">
        <v>11</v>
      </c>
      <c r="C19" s="227" t="s">
        <v>12</v>
      </c>
      <c r="D19" s="227" t="s">
        <v>13</v>
      </c>
      <c r="E19" s="227" t="s">
        <v>14</v>
      </c>
      <c r="F19" s="227" t="s">
        <v>15</v>
      </c>
    </row>
    <row r="20" spans="1:6" x14ac:dyDescent="0.2">
      <c r="A20" s="228" t="s">
        <v>98</v>
      </c>
      <c r="B20" s="229"/>
      <c r="C20" s="229"/>
      <c r="D20" s="229"/>
      <c r="E20" s="229"/>
      <c r="F20" s="229"/>
    </row>
    <row r="21" spans="1:6" x14ac:dyDescent="0.2">
      <c r="A21" s="3">
        <v>44197</v>
      </c>
      <c r="B21" s="46">
        <v>12.69</v>
      </c>
      <c r="C21" s="46">
        <v>12.44</v>
      </c>
      <c r="D21" s="46">
        <v>0.24</v>
      </c>
      <c r="E21" s="46">
        <v>0.96</v>
      </c>
      <c r="F21" s="46">
        <v>1.2</v>
      </c>
    </row>
    <row r="22" spans="1:6" x14ac:dyDescent="0.2">
      <c r="A22" s="2">
        <v>44228</v>
      </c>
      <c r="B22" s="42">
        <v>12.79</v>
      </c>
      <c r="C22" s="42">
        <v>12.73</v>
      </c>
      <c r="D22" s="42">
        <v>0.06</v>
      </c>
      <c r="E22" s="42">
        <v>0.96</v>
      </c>
      <c r="F22" s="42">
        <v>1.02</v>
      </c>
    </row>
    <row r="23" spans="1:6" x14ac:dyDescent="0.2">
      <c r="A23" s="2">
        <v>44256</v>
      </c>
      <c r="B23" s="42">
        <v>13.6</v>
      </c>
      <c r="C23" s="42">
        <v>13.41</v>
      </c>
      <c r="D23" s="42">
        <v>0.19</v>
      </c>
      <c r="E23" s="42">
        <v>0.95</v>
      </c>
      <c r="F23" s="42">
        <v>1.1399999999999999</v>
      </c>
    </row>
    <row r="24" spans="1:6" x14ac:dyDescent="0.2">
      <c r="A24" s="2">
        <v>44287</v>
      </c>
      <c r="B24" s="42">
        <v>14.55</v>
      </c>
      <c r="C24" s="42">
        <v>14.36</v>
      </c>
      <c r="D24" s="42">
        <v>0.19</v>
      </c>
      <c r="E24" s="42">
        <v>0.91</v>
      </c>
      <c r="F24" s="42">
        <v>1.1000000000000001</v>
      </c>
    </row>
    <row r="25" spans="1:6" x14ac:dyDescent="0.2">
      <c r="A25" s="2">
        <v>44317</v>
      </c>
      <c r="B25" s="42">
        <v>15.52</v>
      </c>
      <c r="C25" s="42">
        <v>15.26</v>
      </c>
      <c r="D25" s="42">
        <v>0.26</v>
      </c>
      <c r="E25" s="42">
        <v>0.87</v>
      </c>
      <c r="F25" s="42">
        <v>1.1299999999999999</v>
      </c>
    </row>
    <row r="26" spans="1:6" x14ac:dyDescent="0.2">
      <c r="A26" s="2">
        <v>44348</v>
      </c>
      <c r="B26" s="42">
        <v>16.2</v>
      </c>
      <c r="C26" s="42">
        <v>15.98</v>
      </c>
      <c r="D26" s="42">
        <v>0.21</v>
      </c>
      <c r="E26" s="42">
        <v>0.83</v>
      </c>
      <c r="F26" s="42">
        <v>1.04</v>
      </c>
    </row>
    <row r="27" spans="1:6" x14ac:dyDescent="0.2">
      <c r="A27" s="2">
        <v>44378</v>
      </c>
      <c r="B27" s="42">
        <v>16.559999999999999</v>
      </c>
      <c r="C27" s="42">
        <v>16.23</v>
      </c>
      <c r="D27" s="42">
        <v>0.33</v>
      </c>
      <c r="E27" s="42">
        <v>0.8</v>
      </c>
      <c r="F27" s="42">
        <v>1.1299999999999999</v>
      </c>
    </row>
    <row r="28" spans="1:6" x14ac:dyDescent="0.2">
      <c r="A28" s="2">
        <v>44409</v>
      </c>
      <c r="B28" s="42">
        <v>16.420000000000002</v>
      </c>
      <c r="C28" s="42">
        <v>16.11</v>
      </c>
      <c r="D28" s="42">
        <v>0.31</v>
      </c>
      <c r="E28" s="42">
        <v>0.8</v>
      </c>
      <c r="F28" s="42">
        <v>1.1100000000000001</v>
      </c>
    </row>
    <row r="29" spans="1:6" x14ac:dyDescent="0.2">
      <c r="A29" s="2">
        <v>44440</v>
      </c>
      <c r="B29" s="42">
        <v>15.85</v>
      </c>
      <c r="C29" s="42">
        <v>15.45</v>
      </c>
      <c r="D29" s="42">
        <v>0.4</v>
      </c>
      <c r="E29" s="42">
        <v>0.81</v>
      </c>
      <c r="F29" s="42">
        <v>1.21</v>
      </c>
    </row>
    <row r="30" spans="1:6" x14ac:dyDescent="0.2">
      <c r="A30" s="2">
        <v>44470</v>
      </c>
      <c r="B30" s="42">
        <v>14.87</v>
      </c>
      <c r="C30" s="42">
        <v>14.45</v>
      </c>
      <c r="D30" s="42">
        <v>0.42</v>
      </c>
      <c r="E30" s="42">
        <v>0.85</v>
      </c>
      <c r="F30" s="42">
        <v>1.27</v>
      </c>
    </row>
    <row r="31" spans="1:6" x14ac:dyDescent="0.2">
      <c r="A31" s="2">
        <v>44501</v>
      </c>
      <c r="B31" s="42">
        <v>13.72</v>
      </c>
      <c r="C31" s="42">
        <v>13.37</v>
      </c>
      <c r="D31" s="42">
        <v>0.35</v>
      </c>
      <c r="E31" s="42">
        <v>0.89</v>
      </c>
      <c r="F31" s="42">
        <v>1.24</v>
      </c>
    </row>
    <row r="32" spans="1:6" x14ac:dyDescent="0.2">
      <c r="A32" s="2">
        <v>44531</v>
      </c>
      <c r="B32" s="42">
        <v>12.99</v>
      </c>
      <c r="C32" s="42">
        <v>12.67</v>
      </c>
      <c r="D32" s="42">
        <v>0.32</v>
      </c>
      <c r="E32" s="42">
        <v>0.93</v>
      </c>
      <c r="F32" s="42">
        <v>1.25</v>
      </c>
    </row>
    <row r="33" spans="1:6" x14ac:dyDescent="0.2">
      <c r="A33" s="3">
        <v>44562</v>
      </c>
      <c r="B33" s="46">
        <v>12.72</v>
      </c>
      <c r="C33" s="46">
        <v>12.44</v>
      </c>
      <c r="D33" s="46">
        <v>0.28000000000000003</v>
      </c>
      <c r="E33" s="46">
        <v>0.96</v>
      </c>
      <c r="F33" s="46">
        <v>1.24</v>
      </c>
    </row>
    <row r="34" spans="1:6" x14ac:dyDescent="0.2">
      <c r="A34" s="2">
        <v>44593</v>
      </c>
      <c r="B34" s="42">
        <v>12.96</v>
      </c>
      <c r="C34" s="42">
        <v>12.73</v>
      </c>
      <c r="D34" s="42">
        <v>0.23</v>
      </c>
      <c r="E34" s="42">
        <v>0.96</v>
      </c>
      <c r="F34" s="42">
        <v>1.19</v>
      </c>
    </row>
    <row r="35" spans="1:6" x14ac:dyDescent="0.2">
      <c r="A35" s="2">
        <v>44621</v>
      </c>
      <c r="B35" s="42">
        <v>13.8</v>
      </c>
      <c r="C35" s="42">
        <v>13.41</v>
      </c>
      <c r="D35" s="42">
        <v>0.39</v>
      </c>
      <c r="E35" s="42">
        <v>0.95</v>
      </c>
      <c r="F35" s="42">
        <v>1.34</v>
      </c>
    </row>
    <row r="36" spans="1:6" x14ac:dyDescent="0.2">
      <c r="A36" s="2">
        <v>44652</v>
      </c>
      <c r="B36" s="42">
        <v>14.64</v>
      </c>
      <c r="C36" s="42">
        <v>14.36</v>
      </c>
      <c r="D36" s="42">
        <v>0.28000000000000003</v>
      </c>
      <c r="E36" s="42">
        <v>0.91</v>
      </c>
      <c r="F36" s="42">
        <v>1.19</v>
      </c>
    </row>
    <row r="37" spans="1:6" x14ac:dyDescent="0.2">
      <c r="A37" s="2">
        <v>44682</v>
      </c>
      <c r="B37" s="42">
        <v>15.52</v>
      </c>
      <c r="C37" s="42">
        <v>15.26</v>
      </c>
      <c r="D37" s="42">
        <v>0.26</v>
      </c>
      <c r="E37" s="42">
        <v>0.87</v>
      </c>
      <c r="F37" s="42">
        <v>1.1299999999999999</v>
      </c>
    </row>
    <row r="38" spans="1:6" x14ac:dyDescent="0.2">
      <c r="A38" s="2">
        <v>44713</v>
      </c>
      <c r="B38" s="42">
        <v>16.29</v>
      </c>
      <c r="C38" s="42">
        <v>15.98</v>
      </c>
      <c r="D38" s="42">
        <v>0.31</v>
      </c>
      <c r="E38" s="42">
        <v>0.83</v>
      </c>
      <c r="F38" s="42">
        <v>1.1399999999999999</v>
      </c>
    </row>
    <row r="39" spans="1:6" x14ac:dyDescent="0.2">
      <c r="A39" s="2">
        <v>44743</v>
      </c>
      <c r="B39" s="42">
        <v>16.61</v>
      </c>
      <c r="C39" s="42">
        <v>16.23</v>
      </c>
      <c r="D39" s="42">
        <v>0.38</v>
      </c>
      <c r="E39" s="42">
        <v>0.8</v>
      </c>
      <c r="F39" s="42">
        <v>1.18</v>
      </c>
    </row>
    <row r="40" spans="1:6" x14ac:dyDescent="0.2">
      <c r="A40" s="2">
        <v>44774</v>
      </c>
      <c r="B40" s="42">
        <v>16.41</v>
      </c>
      <c r="C40" s="42">
        <v>16.11</v>
      </c>
      <c r="D40" s="42">
        <v>0.3</v>
      </c>
      <c r="E40" s="42">
        <v>0.8</v>
      </c>
      <c r="F40" s="42">
        <v>1.1000000000000001</v>
      </c>
    </row>
    <row r="41" spans="1:6" x14ac:dyDescent="0.2">
      <c r="A41" s="2">
        <v>44805</v>
      </c>
      <c r="B41" s="42">
        <v>15.8</v>
      </c>
      <c r="C41" s="42">
        <v>15.45</v>
      </c>
      <c r="D41" s="42">
        <v>0.35</v>
      </c>
      <c r="E41" s="42">
        <v>0.81</v>
      </c>
      <c r="F41" s="42">
        <v>1.1599999999999999</v>
      </c>
    </row>
    <row r="42" spans="1:6" x14ac:dyDescent="0.2">
      <c r="A42" s="2">
        <v>44835</v>
      </c>
      <c r="B42" s="42">
        <v>14.86</v>
      </c>
      <c r="C42" s="42">
        <v>14.45</v>
      </c>
      <c r="D42" s="42">
        <v>0.41</v>
      </c>
      <c r="E42" s="42">
        <v>0.85</v>
      </c>
      <c r="F42" s="42">
        <v>1.26</v>
      </c>
    </row>
    <row r="43" spans="1:6" x14ac:dyDescent="0.2">
      <c r="A43" s="2">
        <v>44866</v>
      </c>
      <c r="B43" s="42">
        <v>13.53</v>
      </c>
      <c r="C43" s="42">
        <v>13.37</v>
      </c>
      <c r="D43" s="42">
        <v>0.16</v>
      </c>
      <c r="E43" s="42">
        <v>0.89</v>
      </c>
      <c r="F43" s="42">
        <v>1.05</v>
      </c>
    </row>
    <row r="44" spans="1:6" x14ac:dyDescent="0.2">
      <c r="A44" s="2">
        <v>44896</v>
      </c>
      <c r="B44" s="42">
        <v>12.94</v>
      </c>
      <c r="C44" s="42">
        <v>12.67</v>
      </c>
      <c r="D44" s="42">
        <v>0.27</v>
      </c>
      <c r="E44" s="42">
        <v>0.93</v>
      </c>
      <c r="F44" s="42">
        <v>1.2</v>
      </c>
    </row>
    <row r="45" spans="1:6" x14ac:dyDescent="0.2">
      <c r="A45" s="3">
        <v>44927</v>
      </c>
      <c r="B45" s="4">
        <v>12.69</v>
      </c>
      <c r="C45" s="4">
        <v>12.44</v>
      </c>
      <c r="D45" s="4">
        <v>0.25</v>
      </c>
      <c r="E45" s="4">
        <v>0.96</v>
      </c>
      <c r="F45" s="4">
        <v>1.21</v>
      </c>
    </row>
    <row r="46" spans="1:6" x14ac:dyDescent="0.2">
      <c r="A46" s="2">
        <v>44958</v>
      </c>
      <c r="B46" s="1">
        <v>13.02</v>
      </c>
      <c r="C46" s="1">
        <v>12.73</v>
      </c>
      <c r="D46" s="1">
        <v>0.28999999999999998</v>
      </c>
      <c r="E46" s="1">
        <v>0.96</v>
      </c>
      <c r="F46" s="1">
        <v>1.25</v>
      </c>
    </row>
    <row r="47" spans="1:6" x14ac:dyDescent="0.2">
      <c r="A47" s="2">
        <v>44986</v>
      </c>
      <c r="B47" s="1">
        <v>13.92</v>
      </c>
      <c r="C47" s="1">
        <v>13.41</v>
      </c>
      <c r="D47" s="1">
        <v>0.51</v>
      </c>
      <c r="E47" s="1">
        <v>0.95</v>
      </c>
      <c r="F47" s="1">
        <v>1.46</v>
      </c>
    </row>
    <row r="48" spans="1:6" x14ac:dyDescent="0.2">
      <c r="A48" s="2">
        <v>45017</v>
      </c>
      <c r="B48" s="1">
        <v>14.68</v>
      </c>
      <c r="C48" s="1">
        <v>14.36</v>
      </c>
      <c r="D48" s="1">
        <v>0.32</v>
      </c>
      <c r="E48" s="1">
        <v>0.91</v>
      </c>
      <c r="F48" s="1">
        <v>1.23</v>
      </c>
    </row>
    <row r="49" spans="1:20" x14ac:dyDescent="0.2">
      <c r="A49" s="2">
        <v>45047</v>
      </c>
      <c r="B49" s="1">
        <v>15.66</v>
      </c>
      <c r="C49" s="1">
        <v>15.26</v>
      </c>
      <c r="D49" s="1">
        <v>0.4</v>
      </c>
      <c r="E49" s="1">
        <v>0.87</v>
      </c>
      <c r="F49" s="1">
        <v>1.27</v>
      </c>
    </row>
    <row r="50" spans="1:20" ht="13.5" thickBot="1" x14ac:dyDescent="0.25">
      <c r="A50" s="2">
        <v>45078</v>
      </c>
      <c r="B50" s="1">
        <v>16.510000000000002</v>
      </c>
      <c r="C50" s="1">
        <v>15.98</v>
      </c>
      <c r="D50" s="1">
        <v>0.53</v>
      </c>
      <c r="E50" s="1">
        <v>0.83</v>
      </c>
      <c r="F50" s="1">
        <v>1.36</v>
      </c>
    </row>
    <row r="51" spans="1:20" x14ac:dyDescent="0.2">
      <c r="A51" s="2">
        <v>45108</v>
      </c>
      <c r="B51" s="1">
        <v>16.95</v>
      </c>
      <c r="C51" s="1">
        <v>16.23</v>
      </c>
      <c r="D51" s="1">
        <v>0.72</v>
      </c>
      <c r="E51" s="1">
        <v>0.8</v>
      </c>
      <c r="F51" s="1">
        <v>1.52</v>
      </c>
      <c r="G51" s="153" t="s">
        <v>16</v>
      </c>
      <c r="H51" s="154" t="s">
        <v>17</v>
      </c>
      <c r="I51" s="154" t="s">
        <v>18</v>
      </c>
      <c r="J51" s="154" t="s">
        <v>19</v>
      </c>
      <c r="K51" s="154" t="s">
        <v>20</v>
      </c>
      <c r="L51" s="154" t="s">
        <v>21</v>
      </c>
      <c r="M51" s="154" t="s">
        <v>22</v>
      </c>
      <c r="N51" s="154" t="s">
        <v>23</v>
      </c>
      <c r="O51" s="154" t="s">
        <v>24</v>
      </c>
      <c r="P51" s="154" t="s">
        <v>25</v>
      </c>
      <c r="Q51" s="154" t="s">
        <v>26</v>
      </c>
    </row>
    <row r="52" spans="1:20" ht="12.75" customHeight="1" x14ac:dyDescent="0.2">
      <c r="A52" s="3">
        <v>45139</v>
      </c>
      <c r="B52" s="159">
        <v>16.82</v>
      </c>
      <c r="C52" s="46">
        <v>16.11</v>
      </c>
      <c r="D52" s="46">
        <v>0.71</v>
      </c>
      <c r="E52" s="46">
        <v>0.8</v>
      </c>
      <c r="F52" s="158">
        <v>1.51</v>
      </c>
      <c r="G52" s="129">
        <v>289.76</v>
      </c>
      <c r="H52" s="8">
        <f t="shared" ref="H52:H68" si="0">G52-273.15</f>
        <v>16.610000000000014</v>
      </c>
      <c r="I52" s="7">
        <v>0.21</v>
      </c>
      <c r="J52" s="7">
        <v>0.18</v>
      </c>
      <c r="K52" s="7"/>
      <c r="L52" s="7">
        <f t="shared" ref="L52:L68" si="1">H52+I52</f>
        <v>16.820000000000014</v>
      </c>
      <c r="M52" s="8">
        <f t="shared" ref="M52:M68" si="2">H52+J52</f>
        <v>16.790000000000013</v>
      </c>
      <c r="N52" s="7"/>
      <c r="O52" s="8">
        <f>L52-$C52+$E52</f>
        <v>1.5100000000000151</v>
      </c>
      <c r="P52" s="8">
        <f>M52-$C52+$E52</f>
        <v>1.480000000000014</v>
      </c>
      <c r="Q52" s="7"/>
      <c r="R52" s="234" t="s">
        <v>78</v>
      </c>
      <c r="S52" s="233" t="s">
        <v>27</v>
      </c>
      <c r="T52" s="164"/>
    </row>
    <row r="53" spans="1:20" x14ac:dyDescent="0.2">
      <c r="A53" s="11">
        <v>45170</v>
      </c>
      <c r="B53" s="51">
        <v>16.38</v>
      </c>
      <c r="C53" s="51">
        <v>15.45</v>
      </c>
      <c r="D53" s="51">
        <v>0.93</v>
      </c>
      <c r="E53" s="51">
        <v>0.81</v>
      </c>
      <c r="F53" s="51">
        <v>1.74</v>
      </c>
      <c r="G53" s="129">
        <v>289.26</v>
      </c>
      <c r="H53" s="18">
        <f t="shared" si="0"/>
        <v>16.110000000000014</v>
      </c>
      <c r="I53" s="10">
        <f t="shared" ref="I53:I64" si="3">ABS(H53-B53)</f>
        <v>0.26999999999998536</v>
      </c>
      <c r="J53" s="7">
        <v>0.18</v>
      </c>
      <c r="K53" s="7"/>
      <c r="L53" s="7">
        <f t="shared" si="1"/>
        <v>16.38</v>
      </c>
      <c r="M53" s="8">
        <f t="shared" si="2"/>
        <v>16.290000000000013</v>
      </c>
      <c r="N53" s="7"/>
      <c r="O53" s="8">
        <f t="shared" ref="O53:O68" si="4">L53-C53+E53</f>
        <v>1.7399999999999998</v>
      </c>
      <c r="P53" s="8">
        <f t="shared" ref="P53:P68" si="5">M53-$C53+$E53</f>
        <v>1.6500000000000141</v>
      </c>
      <c r="Q53" s="7"/>
      <c r="R53" s="234"/>
      <c r="S53" s="233"/>
      <c r="T53" s="164"/>
    </row>
    <row r="54" spans="1:20" x14ac:dyDescent="0.2">
      <c r="A54" s="11">
        <v>45200</v>
      </c>
      <c r="B54" s="51">
        <v>15.3</v>
      </c>
      <c r="C54" s="51">
        <v>14.45</v>
      </c>
      <c r="D54" s="51">
        <v>0.85</v>
      </c>
      <c r="E54" s="51">
        <v>0.85</v>
      </c>
      <c r="F54" s="51">
        <v>1.7</v>
      </c>
      <c r="G54" s="129">
        <v>288.38</v>
      </c>
      <c r="H54" s="18">
        <f t="shared" si="0"/>
        <v>15.230000000000018</v>
      </c>
      <c r="I54" s="10">
        <f t="shared" si="3"/>
        <v>6.9999999999982521E-2</v>
      </c>
      <c r="J54" s="7">
        <v>0.18</v>
      </c>
      <c r="K54" s="7"/>
      <c r="L54" s="7">
        <f t="shared" si="1"/>
        <v>15.3</v>
      </c>
      <c r="M54" s="8">
        <f t="shared" si="2"/>
        <v>15.410000000000018</v>
      </c>
      <c r="N54" s="7"/>
      <c r="O54" s="8">
        <f t="shared" si="4"/>
        <v>1.7000000000000015</v>
      </c>
      <c r="P54" s="8">
        <f t="shared" si="5"/>
        <v>1.8100000000000187</v>
      </c>
      <c r="Q54" s="7"/>
      <c r="R54" s="234"/>
      <c r="S54" s="233"/>
      <c r="T54" s="164"/>
    </row>
    <row r="55" spans="1:20" x14ac:dyDescent="0.2">
      <c r="A55" s="11">
        <v>45231</v>
      </c>
      <c r="B55" s="51">
        <v>14.22</v>
      </c>
      <c r="C55" s="51">
        <v>13.37</v>
      </c>
      <c r="D55" s="51">
        <v>0.85</v>
      </c>
      <c r="E55" s="51">
        <v>0.89</v>
      </c>
      <c r="F55" s="51">
        <v>1.74</v>
      </c>
      <c r="G55" s="129">
        <v>287.11</v>
      </c>
      <c r="H55" s="18">
        <f t="shared" si="0"/>
        <v>13.960000000000036</v>
      </c>
      <c r="I55" s="10">
        <f t="shared" si="3"/>
        <v>0.25999999999996426</v>
      </c>
      <c r="J55" s="7">
        <v>0.18</v>
      </c>
      <c r="K55" s="7"/>
      <c r="L55" s="7">
        <f t="shared" si="1"/>
        <v>14.22</v>
      </c>
      <c r="M55" s="8">
        <f t="shared" si="2"/>
        <v>14.140000000000036</v>
      </c>
      <c r="N55" s="7"/>
      <c r="O55" s="8">
        <f t="shared" si="4"/>
        <v>1.7400000000000015</v>
      </c>
      <c r="P55" s="8">
        <f t="shared" si="5"/>
        <v>1.660000000000037</v>
      </c>
      <c r="Q55" s="7"/>
      <c r="R55" s="234"/>
      <c r="S55" s="233"/>
      <c r="T55" s="164"/>
    </row>
    <row r="56" spans="1:20" ht="13.5" thickBot="1" x14ac:dyDescent="0.25">
      <c r="A56" s="11">
        <v>45261</v>
      </c>
      <c r="B56" s="51">
        <v>13.51</v>
      </c>
      <c r="C56" s="51">
        <v>12.67</v>
      </c>
      <c r="D56" s="51">
        <v>0.85</v>
      </c>
      <c r="E56" s="51">
        <v>0.93</v>
      </c>
      <c r="F56" s="51">
        <v>1.78</v>
      </c>
      <c r="G56" s="129">
        <v>286.31</v>
      </c>
      <c r="H56" s="18">
        <f t="shared" si="0"/>
        <v>13.160000000000025</v>
      </c>
      <c r="I56" s="10">
        <f t="shared" si="3"/>
        <v>0.34999999999997478</v>
      </c>
      <c r="J56" s="7">
        <v>0.18</v>
      </c>
      <c r="K56" s="7"/>
      <c r="L56" s="7">
        <f t="shared" si="1"/>
        <v>13.51</v>
      </c>
      <c r="M56" s="8">
        <f t="shared" si="2"/>
        <v>13.340000000000025</v>
      </c>
      <c r="N56" s="7"/>
      <c r="O56" s="8">
        <f t="shared" si="4"/>
        <v>1.77</v>
      </c>
      <c r="P56" s="8">
        <f t="shared" si="5"/>
        <v>1.600000000000025</v>
      </c>
      <c r="Q56" s="7"/>
      <c r="R56" s="234"/>
      <c r="S56" s="233"/>
      <c r="T56" s="164"/>
    </row>
    <row r="57" spans="1:20" ht="12.75" customHeight="1" x14ac:dyDescent="0.2">
      <c r="A57" s="14">
        <v>45292</v>
      </c>
      <c r="B57" s="46">
        <v>13.14</v>
      </c>
      <c r="C57" s="46">
        <v>12.44</v>
      </c>
      <c r="D57" s="46">
        <v>0.7</v>
      </c>
      <c r="E57" s="46">
        <v>0.96</v>
      </c>
      <c r="F57" s="203">
        <v>1.66</v>
      </c>
      <c r="G57" s="15">
        <v>286.10000000000002</v>
      </c>
      <c r="H57" s="15">
        <f t="shared" si="0"/>
        <v>12.950000000000045</v>
      </c>
      <c r="I57" s="10">
        <f t="shared" si="3"/>
        <v>0.18999999999995509</v>
      </c>
      <c r="J57" s="9">
        <v>0.18</v>
      </c>
      <c r="K57" s="9"/>
      <c r="L57" s="9">
        <f t="shared" si="1"/>
        <v>13.14</v>
      </c>
      <c r="M57" s="16">
        <f t="shared" si="2"/>
        <v>13.130000000000045</v>
      </c>
      <c r="N57" s="9"/>
      <c r="O57" s="15">
        <f t="shared" si="4"/>
        <v>1.660000000000001</v>
      </c>
      <c r="P57" s="16">
        <f t="shared" si="5"/>
        <v>1.6500000000000457</v>
      </c>
      <c r="Q57" s="9"/>
      <c r="R57" s="234"/>
      <c r="S57" s="233"/>
      <c r="T57" s="164"/>
    </row>
    <row r="58" spans="1:20" x14ac:dyDescent="0.2">
      <c r="A58" s="17">
        <v>45323</v>
      </c>
      <c r="B58" s="51">
        <v>13.54</v>
      </c>
      <c r="C58" s="51">
        <v>12.73</v>
      </c>
      <c r="D58" s="51">
        <v>0.81</v>
      </c>
      <c r="E58" s="51">
        <v>0.96</v>
      </c>
      <c r="F58" s="204">
        <v>1.77</v>
      </c>
      <c r="G58" s="18">
        <v>286.57</v>
      </c>
      <c r="H58" s="18">
        <f t="shared" si="0"/>
        <v>13.420000000000016</v>
      </c>
      <c r="I58" s="10">
        <f t="shared" si="3"/>
        <v>0.11999999999998323</v>
      </c>
      <c r="J58" s="13">
        <v>0.18</v>
      </c>
      <c r="K58" s="13"/>
      <c r="L58" s="13">
        <f t="shared" si="1"/>
        <v>13.54</v>
      </c>
      <c r="M58" s="19">
        <f t="shared" si="2"/>
        <v>13.600000000000016</v>
      </c>
      <c r="N58" s="13"/>
      <c r="O58" s="18">
        <f t="shared" si="4"/>
        <v>1.7699999999999987</v>
      </c>
      <c r="P58" s="19">
        <f t="shared" si="5"/>
        <v>1.8300000000000152</v>
      </c>
      <c r="Q58" s="13"/>
      <c r="R58" s="234"/>
      <c r="S58" s="234"/>
      <c r="T58" s="165"/>
    </row>
    <row r="59" spans="1:20" x14ac:dyDescent="0.2">
      <c r="A59" s="17">
        <v>45352</v>
      </c>
      <c r="B59" s="42">
        <v>14.14</v>
      </c>
      <c r="C59" s="42">
        <v>13.41</v>
      </c>
      <c r="D59" s="42">
        <v>0.73</v>
      </c>
      <c r="E59" s="42">
        <v>0.95</v>
      </c>
      <c r="F59" s="204">
        <v>1.68</v>
      </c>
      <c r="G59" s="18">
        <v>287.13</v>
      </c>
      <c r="H59" s="8">
        <f t="shared" si="0"/>
        <v>13.980000000000018</v>
      </c>
      <c r="I59" s="10">
        <f t="shared" si="3"/>
        <v>0.15999999999998238</v>
      </c>
      <c r="J59" s="7">
        <v>0.18</v>
      </c>
      <c r="K59" s="7"/>
      <c r="L59" s="7">
        <f t="shared" si="1"/>
        <v>14.14</v>
      </c>
      <c r="M59" s="20">
        <f t="shared" si="2"/>
        <v>14.160000000000018</v>
      </c>
      <c r="N59" s="7"/>
      <c r="O59" s="8">
        <f t="shared" si="4"/>
        <v>1.6800000000000004</v>
      </c>
      <c r="P59" s="19">
        <f t="shared" si="5"/>
        <v>1.7000000000000177</v>
      </c>
      <c r="Q59" s="7"/>
      <c r="R59" s="234"/>
      <c r="S59" s="234"/>
      <c r="T59" s="165"/>
    </row>
    <row r="60" spans="1:20" x14ac:dyDescent="0.2">
      <c r="A60" s="17">
        <v>45383</v>
      </c>
      <c r="B60" s="42">
        <v>15.03</v>
      </c>
      <c r="C60" s="42">
        <v>14.36</v>
      </c>
      <c r="D60" s="42">
        <v>0.67</v>
      </c>
      <c r="E60" s="42">
        <v>0.91</v>
      </c>
      <c r="F60" s="204">
        <v>1.58</v>
      </c>
      <c r="G60" s="18">
        <v>288.05</v>
      </c>
      <c r="H60" s="8">
        <f t="shared" si="0"/>
        <v>14.900000000000034</v>
      </c>
      <c r="I60" s="10">
        <f t="shared" si="3"/>
        <v>0.12999999999996525</v>
      </c>
      <c r="J60" s="7">
        <v>0.18</v>
      </c>
      <c r="K60" s="7"/>
      <c r="L60" s="7">
        <f t="shared" si="1"/>
        <v>15.03</v>
      </c>
      <c r="M60" s="20">
        <f t="shared" si="2"/>
        <v>15.080000000000034</v>
      </c>
      <c r="N60" s="7"/>
      <c r="O60" s="8">
        <f t="shared" si="4"/>
        <v>1.58</v>
      </c>
      <c r="P60" s="19">
        <f t="shared" si="5"/>
        <v>1.6300000000000345</v>
      </c>
      <c r="Q60" s="7"/>
      <c r="R60" s="234"/>
      <c r="S60" s="234"/>
      <c r="T60" s="165"/>
    </row>
    <row r="61" spans="1:20" x14ac:dyDescent="0.2">
      <c r="A61" s="17">
        <v>45413</v>
      </c>
      <c r="B61" s="42">
        <v>15.91</v>
      </c>
      <c r="C61" s="42">
        <v>15.26</v>
      </c>
      <c r="D61" s="42">
        <v>0.65</v>
      </c>
      <c r="E61" s="42">
        <v>0.87</v>
      </c>
      <c r="F61" s="204">
        <v>1.52</v>
      </c>
      <c r="G61" s="18">
        <v>288.97000000000003</v>
      </c>
      <c r="H61" s="8">
        <f t="shared" si="0"/>
        <v>15.82000000000005</v>
      </c>
      <c r="I61" s="10">
        <f t="shared" si="3"/>
        <v>8.999999999995012E-2</v>
      </c>
      <c r="J61" s="7">
        <v>0.18</v>
      </c>
      <c r="K61" s="7"/>
      <c r="L61" s="8">
        <f t="shared" si="1"/>
        <v>15.91</v>
      </c>
      <c r="M61" s="20">
        <f t="shared" si="2"/>
        <v>16.00000000000005</v>
      </c>
      <c r="N61" s="7"/>
      <c r="O61" s="8">
        <f t="shared" si="4"/>
        <v>1.5200000000000005</v>
      </c>
      <c r="P61" s="19">
        <f t="shared" si="5"/>
        <v>1.6100000000000501</v>
      </c>
      <c r="Q61" s="7"/>
      <c r="R61" s="234"/>
      <c r="S61" s="234"/>
      <c r="T61" s="165"/>
    </row>
    <row r="62" spans="1:20" x14ac:dyDescent="0.2">
      <c r="A62" s="17">
        <v>45444</v>
      </c>
      <c r="B62" s="42">
        <v>16.66</v>
      </c>
      <c r="C62" s="42">
        <v>15.98</v>
      </c>
      <c r="D62" s="42">
        <v>0.67</v>
      </c>
      <c r="E62" s="42">
        <v>0.83</v>
      </c>
      <c r="F62" s="204">
        <v>1.5</v>
      </c>
      <c r="G62" s="18">
        <v>289.7</v>
      </c>
      <c r="H62" s="8">
        <f t="shared" si="0"/>
        <v>16.550000000000011</v>
      </c>
      <c r="I62" s="10">
        <f t="shared" si="3"/>
        <v>0.10999999999998877</v>
      </c>
      <c r="J62" s="7">
        <v>0.18</v>
      </c>
      <c r="K62" s="7"/>
      <c r="L62" s="7">
        <f t="shared" si="1"/>
        <v>16.66</v>
      </c>
      <c r="M62" s="20">
        <f t="shared" si="2"/>
        <v>16.730000000000011</v>
      </c>
      <c r="N62" s="7"/>
      <c r="O62" s="8">
        <f t="shared" si="4"/>
        <v>1.5099999999999998</v>
      </c>
      <c r="P62" s="19">
        <f t="shared" si="5"/>
        <v>1.5800000000000107</v>
      </c>
      <c r="Q62" s="7"/>
      <c r="R62" s="234"/>
      <c r="S62" s="234"/>
      <c r="T62" s="165"/>
    </row>
    <row r="63" spans="1:20" x14ac:dyDescent="0.2">
      <c r="A63" s="14">
        <v>45474</v>
      </c>
      <c r="B63" s="46">
        <v>16.91</v>
      </c>
      <c r="C63" s="46">
        <v>16.23</v>
      </c>
      <c r="D63" s="46">
        <v>0.68</v>
      </c>
      <c r="E63" s="46">
        <v>0.8</v>
      </c>
      <c r="F63" s="204">
        <v>1.48</v>
      </c>
      <c r="G63" s="201">
        <v>289.85000000000002</v>
      </c>
      <c r="H63" s="8">
        <f t="shared" si="0"/>
        <v>16.700000000000045</v>
      </c>
      <c r="I63" s="10">
        <f t="shared" si="3"/>
        <v>0.20999999999995467</v>
      </c>
      <c r="J63" s="7">
        <v>0.18</v>
      </c>
      <c r="K63" s="7"/>
      <c r="L63" s="7">
        <f t="shared" si="1"/>
        <v>16.91</v>
      </c>
      <c r="M63" s="20">
        <f t="shared" si="2"/>
        <v>16.880000000000045</v>
      </c>
      <c r="N63" s="7"/>
      <c r="O63" s="8">
        <f t="shared" si="4"/>
        <v>1.4799999999999998</v>
      </c>
      <c r="P63" s="19">
        <f t="shared" si="5"/>
        <v>1.4500000000000448</v>
      </c>
      <c r="Q63" s="7"/>
      <c r="S63" s="235"/>
      <c r="T63" s="166"/>
    </row>
    <row r="64" spans="1:20" ht="13.5" thickBot="1" x14ac:dyDescent="0.25">
      <c r="A64" s="17">
        <v>45505</v>
      </c>
      <c r="B64" s="126">
        <v>16.823608</v>
      </c>
      <c r="C64" s="51">
        <v>16.11</v>
      </c>
      <c r="D64" s="54">
        <f>B64-C64</f>
        <v>0.71360800000000069</v>
      </c>
      <c r="E64" s="51">
        <v>0.8</v>
      </c>
      <c r="F64" s="205">
        <f>D64+E64</f>
        <v>1.5136080000000007</v>
      </c>
      <c r="G64" s="18">
        <v>289.73</v>
      </c>
      <c r="H64" s="134">
        <f t="shared" si="0"/>
        <v>16.580000000000041</v>
      </c>
      <c r="I64" s="8">
        <f t="shared" si="3"/>
        <v>0.24360799999995919</v>
      </c>
      <c r="J64" s="7">
        <v>0.18</v>
      </c>
      <c r="K64" s="7">
        <v>0.25</v>
      </c>
      <c r="L64" s="8">
        <f t="shared" si="1"/>
        <v>16.823608</v>
      </c>
      <c r="M64" s="20">
        <f t="shared" si="2"/>
        <v>16.760000000000041</v>
      </c>
      <c r="N64" s="8">
        <f>H64+K64</f>
        <v>16.830000000000041</v>
      </c>
      <c r="O64" s="8">
        <f t="shared" si="4"/>
        <v>1.5136080000000007</v>
      </c>
      <c r="P64" s="160">
        <f t="shared" si="5"/>
        <v>1.4500000000000413</v>
      </c>
      <c r="Q64" s="8">
        <f>N64-$C64+$E64</f>
        <v>1.5200000000000415</v>
      </c>
      <c r="S64" s="235"/>
      <c r="T64" s="166"/>
    </row>
    <row r="65" spans="1:18" ht="13.5" thickBot="1" x14ac:dyDescent="0.25">
      <c r="A65" s="17">
        <v>45536</v>
      </c>
      <c r="B65" s="127">
        <v>16.174042</v>
      </c>
      <c r="C65" s="51">
        <v>15.45</v>
      </c>
      <c r="D65" s="54">
        <f>B65-C65</f>
        <v>0.72404200000000074</v>
      </c>
      <c r="E65" s="51">
        <v>0.81</v>
      </c>
      <c r="F65" s="206">
        <f>D65+E65</f>
        <v>1.5340420000000008</v>
      </c>
      <c r="G65" s="202">
        <v>289.10000000000002</v>
      </c>
      <c r="H65" s="42">
        <f t="shared" si="0"/>
        <v>15.950000000000045</v>
      </c>
      <c r="I65" s="24">
        <v>0.1152</v>
      </c>
      <c r="J65" s="25">
        <v>0.18</v>
      </c>
      <c r="K65" s="24">
        <v>0.24479999999999999</v>
      </c>
      <c r="L65" s="1">
        <f t="shared" si="1"/>
        <v>16.065200000000047</v>
      </c>
      <c r="M65" s="128">
        <f t="shared" si="2"/>
        <v>16.130000000000045</v>
      </c>
      <c r="N65" s="1">
        <f>H65+K65</f>
        <v>16.194800000000047</v>
      </c>
      <c r="O65" s="26">
        <f t="shared" si="4"/>
        <v>1.4252000000000478</v>
      </c>
      <c r="P65" s="27">
        <f t="shared" si="5"/>
        <v>1.490000000000046</v>
      </c>
      <c r="Q65" s="26">
        <f>N65-$C65+$E65</f>
        <v>1.5548000000000477</v>
      </c>
      <c r="R65" s="238" t="s">
        <v>28</v>
      </c>
    </row>
    <row r="66" spans="1:18" x14ac:dyDescent="0.2">
      <c r="A66" s="17">
        <v>45566</v>
      </c>
      <c r="C66" s="42">
        <v>14.45</v>
      </c>
      <c r="E66" s="42">
        <v>0.85</v>
      </c>
      <c r="G66" s="130">
        <v>288.11</v>
      </c>
      <c r="H66" s="42">
        <f t="shared" si="0"/>
        <v>14.960000000000036</v>
      </c>
      <c r="I66" s="24">
        <v>0.1152</v>
      </c>
      <c r="J66" s="25">
        <v>0.18</v>
      </c>
      <c r="K66" s="24">
        <v>0.24479999999999999</v>
      </c>
      <c r="L66" s="1">
        <f t="shared" si="1"/>
        <v>15.075200000000036</v>
      </c>
      <c r="M66" s="128">
        <f t="shared" si="2"/>
        <v>15.140000000000036</v>
      </c>
      <c r="N66" s="1">
        <f>H66+K66</f>
        <v>15.204800000000036</v>
      </c>
      <c r="O66" s="26">
        <f t="shared" si="4"/>
        <v>1.4752000000000369</v>
      </c>
      <c r="P66" s="28">
        <f t="shared" si="5"/>
        <v>1.5400000000000369</v>
      </c>
      <c r="Q66" s="26">
        <f>N66-$C66+$E66</f>
        <v>1.6048000000000369</v>
      </c>
      <c r="R66" s="239"/>
    </row>
    <row r="67" spans="1:18" x14ac:dyDescent="0.2">
      <c r="A67" s="17">
        <v>45597</v>
      </c>
      <c r="C67" s="42">
        <v>13.37</v>
      </c>
      <c r="E67" s="42">
        <v>0.89</v>
      </c>
      <c r="G67" s="130">
        <v>287.01</v>
      </c>
      <c r="H67" s="42">
        <f t="shared" si="0"/>
        <v>13.860000000000014</v>
      </c>
      <c r="I67" s="24">
        <v>0.1152</v>
      </c>
      <c r="J67" s="25">
        <v>0.18</v>
      </c>
      <c r="K67" s="24">
        <v>0.24479999999999999</v>
      </c>
      <c r="L67" s="1">
        <f t="shared" si="1"/>
        <v>13.975200000000013</v>
      </c>
      <c r="M67" s="128">
        <f t="shared" si="2"/>
        <v>14.040000000000013</v>
      </c>
      <c r="N67" s="1">
        <f>H67+K67</f>
        <v>14.104800000000013</v>
      </c>
      <c r="O67" s="26">
        <f t="shared" si="4"/>
        <v>1.4952000000000143</v>
      </c>
      <c r="P67" s="28">
        <f t="shared" si="5"/>
        <v>1.5600000000000143</v>
      </c>
      <c r="Q67" s="26">
        <f>N67-$C67+$E67</f>
        <v>1.6248000000000142</v>
      </c>
      <c r="R67" s="239"/>
    </row>
    <row r="68" spans="1:18" ht="13.5" thickBot="1" x14ac:dyDescent="0.25">
      <c r="A68" s="56">
        <v>45627</v>
      </c>
      <c r="B68" s="22"/>
      <c r="C68" s="135">
        <v>12.67</v>
      </c>
      <c r="D68" s="22"/>
      <c r="E68" s="135">
        <v>0.93</v>
      </c>
      <c r="F68" s="207"/>
      <c r="G68" s="131">
        <v>286.2</v>
      </c>
      <c r="H68" s="135">
        <f t="shared" si="0"/>
        <v>13.050000000000011</v>
      </c>
      <c r="I68" s="22">
        <v>0.1152</v>
      </c>
      <c r="J68" s="29">
        <v>0.18</v>
      </c>
      <c r="K68" s="30">
        <v>0.24479999999999999</v>
      </c>
      <c r="L68" s="22">
        <f t="shared" si="1"/>
        <v>13.165200000000011</v>
      </c>
      <c r="M68" s="157">
        <f t="shared" si="2"/>
        <v>13.230000000000011</v>
      </c>
      <c r="N68" s="22">
        <f>H68+K68</f>
        <v>13.294800000000011</v>
      </c>
      <c r="O68" s="31">
        <f t="shared" si="4"/>
        <v>1.4252000000000113</v>
      </c>
      <c r="P68" s="32">
        <f t="shared" si="5"/>
        <v>1.4900000000000113</v>
      </c>
      <c r="Q68" s="31">
        <f>N68-$C68+$E68</f>
        <v>1.5548000000000113</v>
      </c>
      <c r="R68" s="239"/>
    </row>
    <row r="69" spans="1:18" x14ac:dyDescent="0.2">
      <c r="G69" s="98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239"/>
    </row>
    <row r="70" spans="1:18" x14ac:dyDescent="0.2">
      <c r="G70" s="98"/>
      <c r="H70" s="170" t="s">
        <v>29</v>
      </c>
      <c r="I70" s="169">
        <f>(SUM(I53:I63)+I76)/12</f>
        <v>0.18030066666664016</v>
      </c>
      <c r="J70" s="12"/>
      <c r="K70" s="12"/>
      <c r="L70" s="12"/>
      <c r="M70" s="12"/>
      <c r="N70" s="12"/>
      <c r="O70" s="12"/>
      <c r="P70" s="12"/>
      <c r="Q70" s="12"/>
      <c r="R70" s="239"/>
    </row>
    <row r="71" spans="1:18" x14ac:dyDescent="0.2">
      <c r="G71" s="98"/>
      <c r="H71" s="138"/>
      <c r="I71" s="139"/>
      <c r="J71" s="12"/>
      <c r="K71" s="12"/>
      <c r="L71" s="12"/>
      <c r="M71" s="12"/>
      <c r="N71" s="171" t="s">
        <v>81</v>
      </c>
      <c r="O71" s="172">
        <f>(SUM($F$57:$F$64)+SUM(O65:O68))/12</f>
        <v>1.5437006666666759</v>
      </c>
      <c r="P71" s="173">
        <f>(SUM($F$57:$F$64)+SUM(P65:P68))/12</f>
        <v>1.5653006666666756</v>
      </c>
      <c r="Q71" s="172">
        <f>(SUM($F$57:$F$64)+SUM(Q65:Q68))/12</f>
        <v>1.5869006666666758</v>
      </c>
      <c r="R71" s="163"/>
    </row>
    <row r="72" spans="1:18" x14ac:dyDescent="0.2">
      <c r="G72" s="98"/>
      <c r="H72" s="12"/>
      <c r="I72" s="12"/>
      <c r="J72" s="12"/>
      <c r="K72" s="12"/>
      <c r="L72" s="12"/>
      <c r="M72" s="12"/>
      <c r="N72" s="12"/>
      <c r="O72" s="122">
        <f>O71-P71</f>
        <v>-2.159999999999962E-2</v>
      </c>
      <c r="P72" s="12"/>
      <c r="Q72" s="122">
        <f>Q71-P71</f>
        <v>2.1600000000000286E-2</v>
      </c>
      <c r="R72" s="162"/>
    </row>
    <row r="73" spans="1:18" x14ac:dyDescent="0.2">
      <c r="G73" s="155"/>
      <c r="H73" s="68"/>
      <c r="I73" s="68"/>
      <c r="J73" s="68"/>
      <c r="K73" s="68"/>
      <c r="L73" s="68"/>
      <c r="M73" s="68"/>
      <c r="N73" s="68"/>
      <c r="O73" s="156"/>
      <c r="P73" s="68"/>
      <c r="Q73" s="156"/>
    </row>
    <row r="74" spans="1:18" x14ac:dyDescent="0.2">
      <c r="G74" s="96" t="s">
        <v>30</v>
      </c>
      <c r="H74" s="140" t="s">
        <v>31</v>
      </c>
      <c r="I74" s="140" t="s">
        <v>18</v>
      </c>
      <c r="J74" s="140" t="s">
        <v>19</v>
      </c>
      <c r="K74" s="140" t="s">
        <v>20</v>
      </c>
      <c r="L74" s="140" t="s">
        <v>21</v>
      </c>
      <c r="M74" s="140" t="s">
        <v>22</v>
      </c>
      <c r="N74" s="140" t="s">
        <v>23</v>
      </c>
      <c r="O74" s="140" t="s">
        <v>24</v>
      </c>
      <c r="P74" s="140" t="s">
        <v>25</v>
      </c>
      <c r="Q74" s="140" t="s">
        <v>26</v>
      </c>
    </row>
    <row r="75" spans="1:18" x14ac:dyDescent="0.2">
      <c r="A75" s="2">
        <v>45474</v>
      </c>
      <c r="B75" s="1">
        <v>16.91</v>
      </c>
      <c r="C75" s="42">
        <v>16.23</v>
      </c>
      <c r="D75" s="1">
        <v>0.68</v>
      </c>
      <c r="E75" s="42">
        <v>0.8</v>
      </c>
      <c r="F75" s="34">
        <v>1.48</v>
      </c>
      <c r="G75" s="236" t="s">
        <v>32</v>
      </c>
      <c r="H75" s="237"/>
      <c r="I75" s="237"/>
      <c r="J75" s="237"/>
      <c r="K75" s="237"/>
      <c r="L75" s="237"/>
      <c r="M75" s="237"/>
      <c r="N75" s="237"/>
      <c r="O75" s="237"/>
      <c r="P75" s="237"/>
      <c r="Q75" s="237"/>
    </row>
    <row r="76" spans="1:18" ht="13.5" thickBot="1" x14ac:dyDescent="0.25">
      <c r="A76" s="2">
        <v>45505</v>
      </c>
      <c r="B76" s="123">
        <v>16.823608</v>
      </c>
      <c r="C76" s="42">
        <v>16.11</v>
      </c>
      <c r="D76" s="44">
        <f>B76-C76</f>
        <v>0.71360800000000069</v>
      </c>
      <c r="E76" s="42">
        <v>0.8</v>
      </c>
      <c r="F76" s="34">
        <f>D76+E76</f>
        <v>1.5136080000000007</v>
      </c>
      <c r="G76" s="141">
        <v>289.77</v>
      </c>
      <c r="H76" s="13">
        <f>G76-273.15</f>
        <v>16.620000000000005</v>
      </c>
      <c r="I76" s="161">
        <f>ABS(H76-B76)</f>
        <v>0.20360799999999557</v>
      </c>
      <c r="J76" s="13">
        <v>0.18</v>
      </c>
      <c r="K76" s="13">
        <v>0.25</v>
      </c>
      <c r="L76" s="18">
        <f>H76+I76</f>
        <v>16.823608</v>
      </c>
      <c r="M76" s="18">
        <f>H76+J76</f>
        <v>16.800000000000004</v>
      </c>
      <c r="N76" s="18">
        <f>H76+K76</f>
        <v>16.870000000000005</v>
      </c>
      <c r="O76" s="18">
        <f>L76-C76+E76</f>
        <v>1.5136080000000007</v>
      </c>
      <c r="P76" s="18">
        <f t="shared" ref="P76:Q80" si="6">M76-$C76+$E76</f>
        <v>1.4900000000000049</v>
      </c>
      <c r="Q76" s="18">
        <f t="shared" si="6"/>
        <v>1.5600000000000052</v>
      </c>
    </row>
    <row r="77" spans="1:18" x14ac:dyDescent="0.2">
      <c r="A77" s="23">
        <v>45536</v>
      </c>
      <c r="C77" s="42">
        <v>15.45</v>
      </c>
      <c r="E77" s="42">
        <v>0.81</v>
      </c>
      <c r="G77" s="97">
        <v>289.13</v>
      </c>
      <c r="H77" s="12">
        <f>G77-273.15</f>
        <v>15.980000000000018</v>
      </c>
      <c r="I77" s="35">
        <v>0.1152</v>
      </c>
      <c r="J77" s="142">
        <v>0.18</v>
      </c>
      <c r="K77" s="35">
        <v>0.24479999999999999</v>
      </c>
      <c r="L77" s="54">
        <f>H77+I77</f>
        <v>16.09520000000002</v>
      </c>
      <c r="M77" s="143">
        <f>H77+J77</f>
        <v>16.160000000000018</v>
      </c>
      <c r="N77" s="54">
        <f>H77+K77</f>
        <v>16.22480000000002</v>
      </c>
      <c r="O77" s="36">
        <f>L77-C77+E77</f>
        <v>1.4552000000000205</v>
      </c>
      <c r="P77" s="27">
        <f t="shared" si="6"/>
        <v>1.5200000000000187</v>
      </c>
      <c r="Q77" s="36">
        <f t="shared" si="6"/>
        <v>1.5848000000000204</v>
      </c>
    </row>
    <row r="78" spans="1:18" x14ac:dyDescent="0.2">
      <c r="A78" s="17">
        <v>45566</v>
      </c>
      <c r="C78" s="42">
        <v>14.45</v>
      </c>
      <c r="E78" s="42">
        <v>0.85</v>
      </c>
      <c r="G78" s="98">
        <v>288.18</v>
      </c>
      <c r="H78" s="12">
        <f>G78-273.15</f>
        <v>15.03000000000003</v>
      </c>
      <c r="I78" s="35">
        <v>0.1152</v>
      </c>
      <c r="J78" s="142">
        <v>0.18</v>
      </c>
      <c r="K78" s="35">
        <v>0.24479999999999999</v>
      </c>
      <c r="L78" s="54">
        <f>H78+I78</f>
        <v>15.145200000000029</v>
      </c>
      <c r="M78" s="143">
        <f>H78+J78</f>
        <v>15.210000000000029</v>
      </c>
      <c r="N78" s="54">
        <f>H78+K78</f>
        <v>15.274800000000029</v>
      </c>
      <c r="O78" s="36">
        <f>L78-C78+E78</f>
        <v>1.5452000000000301</v>
      </c>
      <c r="P78" s="28">
        <f t="shared" si="6"/>
        <v>1.6100000000000301</v>
      </c>
      <c r="Q78" s="36">
        <f t="shared" si="6"/>
        <v>1.67480000000003</v>
      </c>
    </row>
    <row r="79" spans="1:18" x14ac:dyDescent="0.2">
      <c r="A79" s="17">
        <v>45597</v>
      </c>
      <c r="C79" s="42">
        <v>13.37</v>
      </c>
      <c r="E79" s="42">
        <v>0.89</v>
      </c>
      <c r="G79" s="98">
        <v>287.06</v>
      </c>
      <c r="H79" s="12">
        <f>G79-273.15</f>
        <v>13.910000000000025</v>
      </c>
      <c r="I79" s="35">
        <v>0.1152</v>
      </c>
      <c r="J79" s="142">
        <v>0.18</v>
      </c>
      <c r="K79" s="35">
        <v>0.24479999999999999</v>
      </c>
      <c r="L79" s="54">
        <f>H79+I79</f>
        <v>14.025200000000025</v>
      </c>
      <c r="M79" s="143">
        <f>H79+J79</f>
        <v>14.090000000000025</v>
      </c>
      <c r="N79" s="54">
        <f>H79+K79</f>
        <v>14.154800000000025</v>
      </c>
      <c r="O79" s="36">
        <f>L79-C79+E79</f>
        <v>1.5452000000000257</v>
      </c>
      <c r="P79" s="28">
        <f t="shared" si="6"/>
        <v>1.6100000000000256</v>
      </c>
      <c r="Q79" s="36">
        <f t="shared" si="6"/>
        <v>1.6748000000000256</v>
      </c>
    </row>
    <row r="80" spans="1:18" ht="13.5" thickBot="1" x14ac:dyDescent="0.25">
      <c r="A80" s="21">
        <v>45627</v>
      </c>
      <c r="C80" s="42">
        <v>12.67</v>
      </c>
      <c r="E80" s="42">
        <v>0.93</v>
      </c>
      <c r="G80" s="99">
        <v>286.27</v>
      </c>
      <c r="H80" s="12">
        <f>G80-273.15</f>
        <v>13.120000000000005</v>
      </c>
      <c r="I80" s="12">
        <v>0.1152</v>
      </c>
      <c r="J80" s="142">
        <v>0.18</v>
      </c>
      <c r="K80" s="35">
        <v>0.24479999999999999</v>
      </c>
      <c r="L80" s="54">
        <f>H80+I80</f>
        <v>13.235200000000004</v>
      </c>
      <c r="M80" s="143">
        <f>H80+J80</f>
        <v>13.300000000000004</v>
      </c>
      <c r="N80" s="54">
        <f>H80+K80</f>
        <v>13.364800000000004</v>
      </c>
      <c r="O80" s="36">
        <f>L80-C80+E80</f>
        <v>1.4952000000000045</v>
      </c>
      <c r="P80" s="32">
        <f t="shared" si="6"/>
        <v>1.5600000000000045</v>
      </c>
      <c r="Q80" s="36">
        <f t="shared" si="6"/>
        <v>1.6248000000000045</v>
      </c>
    </row>
    <row r="81" spans="1:17" x14ac:dyDescent="0.2">
      <c r="C81" s="42"/>
      <c r="E81" s="42"/>
      <c r="G81" s="98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x14ac:dyDescent="0.2">
      <c r="C82" s="42"/>
      <c r="E82" s="42"/>
      <c r="G82" s="98"/>
      <c r="H82" s="12"/>
      <c r="I82" s="12"/>
      <c r="J82" s="12"/>
      <c r="K82" s="12"/>
      <c r="L82" s="12"/>
      <c r="M82" s="12"/>
      <c r="N82" s="171" t="s">
        <v>81</v>
      </c>
      <c r="O82" s="172">
        <f>(SUM($F$57:$F$64)+SUM(O77:O80))/12</f>
        <v>1.5620340000000068</v>
      </c>
      <c r="P82" s="173">
        <f>(SUM($F$57:$F$64)+SUM(P77:P80))/12</f>
        <v>1.5836340000000064</v>
      </c>
      <c r="Q82" s="172">
        <f>(SUM($F$57:$F$64)+SUM(Q77:Q80))/12</f>
        <v>1.6052340000000067</v>
      </c>
    </row>
    <row r="83" spans="1:17" x14ac:dyDescent="0.2">
      <c r="C83" s="42"/>
      <c r="E83" s="42"/>
      <c r="G83" s="98"/>
      <c r="H83" s="12"/>
      <c r="I83" s="12"/>
      <c r="J83" s="12"/>
      <c r="K83" s="12"/>
      <c r="L83" s="12"/>
      <c r="M83" s="12"/>
      <c r="N83" s="12"/>
      <c r="O83" s="122">
        <f>O82-P82</f>
        <v>-2.159999999999962E-2</v>
      </c>
      <c r="P83" s="12"/>
      <c r="Q83" s="122">
        <f>Q82-P82</f>
        <v>2.1600000000000286E-2</v>
      </c>
    </row>
    <row r="84" spans="1:17" x14ac:dyDescent="0.2">
      <c r="C84" s="42"/>
      <c r="E84" s="42"/>
      <c r="G84" s="155"/>
      <c r="H84" s="68"/>
      <c r="I84" s="68"/>
      <c r="J84" s="68"/>
      <c r="K84" s="68"/>
      <c r="L84" s="68"/>
      <c r="M84" s="68"/>
      <c r="N84" s="68"/>
      <c r="O84" s="156"/>
      <c r="P84" s="68"/>
      <c r="Q84" s="156"/>
    </row>
    <row r="85" spans="1:17" x14ac:dyDescent="0.2">
      <c r="C85" s="42"/>
      <c r="E85" s="42"/>
      <c r="G85" s="96" t="s">
        <v>33</v>
      </c>
      <c r="H85" s="140" t="s">
        <v>34</v>
      </c>
      <c r="I85" s="140" t="s">
        <v>18</v>
      </c>
      <c r="J85" s="140" t="s">
        <v>19</v>
      </c>
      <c r="K85" s="140" t="s">
        <v>20</v>
      </c>
      <c r="L85" s="140" t="s">
        <v>21</v>
      </c>
      <c r="M85" s="140" t="s">
        <v>22</v>
      </c>
      <c r="N85" s="140" t="s">
        <v>23</v>
      </c>
      <c r="O85" s="140" t="s">
        <v>24</v>
      </c>
      <c r="P85" s="140" t="s">
        <v>25</v>
      </c>
      <c r="Q85" s="140" t="s">
        <v>26</v>
      </c>
    </row>
    <row r="86" spans="1:17" x14ac:dyDescent="0.2">
      <c r="A86" s="2">
        <v>45474</v>
      </c>
      <c r="B86" s="1">
        <v>16.91</v>
      </c>
      <c r="C86" s="42">
        <v>16.23</v>
      </c>
      <c r="D86" s="1">
        <v>0.68</v>
      </c>
      <c r="E86" s="42">
        <v>0.8</v>
      </c>
      <c r="F86" s="34">
        <v>1.48</v>
      </c>
      <c r="G86" s="236" t="s">
        <v>32</v>
      </c>
      <c r="H86" s="237"/>
      <c r="I86" s="237"/>
      <c r="J86" s="237"/>
      <c r="K86" s="237"/>
      <c r="L86" s="237"/>
      <c r="M86" s="237"/>
      <c r="N86" s="237"/>
      <c r="O86" s="237"/>
      <c r="P86" s="237"/>
      <c r="Q86" s="237"/>
    </row>
    <row r="87" spans="1:17" ht="13.5" thickBot="1" x14ac:dyDescent="0.25">
      <c r="A87" s="2">
        <v>45505</v>
      </c>
      <c r="B87" s="123">
        <v>16.823608</v>
      </c>
      <c r="C87" s="42">
        <v>16.11</v>
      </c>
      <c r="D87" s="44">
        <f>B87-C87</f>
        <v>0.71360800000000069</v>
      </c>
      <c r="E87" s="42">
        <v>0.8</v>
      </c>
      <c r="F87" s="34">
        <f>D87+E87</f>
        <v>1.5136080000000007</v>
      </c>
      <c r="G87" s="236"/>
      <c r="H87" s="237"/>
      <c r="I87" s="237"/>
      <c r="J87" s="237"/>
      <c r="K87" s="237"/>
      <c r="L87" s="237"/>
      <c r="M87" s="237"/>
      <c r="N87" s="237"/>
      <c r="O87" s="237"/>
      <c r="P87" s="237"/>
      <c r="Q87" s="237"/>
    </row>
    <row r="88" spans="1:17" x14ac:dyDescent="0.2">
      <c r="A88" s="23">
        <v>45536</v>
      </c>
      <c r="C88" s="42">
        <v>15.45</v>
      </c>
      <c r="E88" s="42">
        <v>0.81</v>
      </c>
      <c r="G88" s="144">
        <v>289.19353999999998</v>
      </c>
      <c r="H88" s="54">
        <f>G88-273.15</f>
        <v>16.043540000000007</v>
      </c>
      <c r="I88" s="35">
        <v>0.1152</v>
      </c>
      <c r="J88" s="142">
        <v>0.18</v>
      </c>
      <c r="K88" s="35">
        <v>0.24479999999999999</v>
      </c>
      <c r="L88" s="54">
        <f>H88+I88</f>
        <v>16.158740000000009</v>
      </c>
      <c r="M88" s="143">
        <f>H88+J88</f>
        <v>16.223540000000007</v>
      </c>
      <c r="N88" s="54">
        <f>H88+K88</f>
        <v>16.288340000000009</v>
      </c>
      <c r="O88" s="36">
        <f>L88-C88+E88</f>
        <v>1.5187400000000095</v>
      </c>
      <c r="P88" s="27">
        <f t="shared" ref="P88:Q91" si="7">M88-$C88+$E88</f>
        <v>1.5835400000000077</v>
      </c>
      <c r="Q88" s="36">
        <f t="shared" si="7"/>
        <v>1.6483400000000095</v>
      </c>
    </row>
    <row r="89" spans="1:17" x14ac:dyDescent="0.2">
      <c r="A89" s="17">
        <v>45566</v>
      </c>
      <c r="C89" s="42">
        <v>14.45</v>
      </c>
      <c r="E89" s="42">
        <v>0.85</v>
      </c>
      <c r="G89" s="145">
        <v>288.21550000000002</v>
      </c>
      <c r="H89" s="146">
        <f>G89-273.15</f>
        <v>15.065500000000043</v>
      </c>
      <c r="I89" s="35">
        <v>0.1152</v>
      </c>
      <c r="J89" s="142">
        <v>0.18</v>
      </c>
      <c r="K89" s="35">
        <v>0.24479999999999999</v>
      </c>
      <c r="L89" s="54">
        <f>H89+I89</f>
        <v>15.180700000000042</v>
      </c>
      <c r="M89" s="143">
        <f>H89+J89</f>
        <v>15.245500000000042</v>
      </c>
      <c r="N89" s="54">
        <f>H89+K89</f>
        <v>15.310300000000042</v>
      </c>
      <c r="O89" s="36">
        <f>L89-C89+E89</f>
        <v>1.5807000000000433</v>
      </c>
      <c r="P89" s="28">
        <f t="shared" si="7"/>
        <v>1.6455000000000433</v>
      </c>
      <c r="Q89" s="36">
        <f t="shared" si="7"/>
        <v>1.7103000000000432</v>
      </c>
    </row>
    <row r="90" spans="1:17" x14ac:dyDescent="0.2">
      <c r="A90" s="17">
        <v>45597</v>
      </c>
      <c r="C90" s="42">
        <v>13.37</v>
      </c>
      <c r="E90" s="42">
        <v>0.89</v>
      </c>
      <c r="G90" s="145">
        <v>287.12335000000002</v>
      </c>
      <c r="H90" s="146">
        <f>G90-273.15</f>
        <v>13.973350000000039</v>
      </c>
      <c r="I90" s="35">
        <v>0.1152</v>
      </c>
      <c r="J90" s="142">
        <v>0.18</v>
      </c>
      <c r="K90" s="35">
        <v>0.24479999999999999</v>
      </c>
      <c r="L90" s="54">
        <f>H90+I90</f>
        <v>14.088550000000039</v>
      </c>
      <c r="M90" s="143">
        <f>H90+J90</f>
        <v>14.153350000000039</v>
      </c>
      <c r="N90" s="54">
        <f>H90+K90</f>
        <v>14.218150000000039</v>
      </c>
      <c r="O90" s="36">
        <f>L90-C90+E90</f>
        <v>1.6085500000000397</v>
      </c>
      <c r="P90" s="28">
        <f t="shared" si="7"/>
        <v>1.6733500000000396</v>
      </c>
      <c r="Q90" s="36">
        <f t="shared" si="7"/>
        <v>1.7381500000000396</v>
      </c>
    </row>
    <row r="91" spans="1:17" ht="13.5" thickBot="1" x14ac:dyDescent="0.25">
      <c r="A91" s="21">
        <v>45627</v>
      </c>
      <c r="C91" s="42">
        <v>12.67</v>
      </c>
      <c r="E91" s="42">
        <v>0.93</v>
      </c>
      <c r="G91" s="147">
        <v>286.26828</v>
      </c>
      <c r="H91" s="146">
        <f>G91-273.15</f>
        <v>13.118280000000027</v>
      </c>
      <c r="I91" s="12">
        <v>0.1152</v>
      </c>
      <c r="J91" s="142">
        <v>0.18</v>
      </c>
      <c r="K91" s="35">
        <v>0.24479999999999999</v>
      </c>
      <c r="L91" s="54">
        <f>H91+I91</f>
        <v>13.233480000000027</v>
      </c>
      <c r="M91" s="143">
        <f>H91+J91</f>
        <v>13.298280000000027</v>
      </c>
      <c r="N91" s="54">
        <f>H91+K91</f>
        <v>13.363080000000027</v>
      </c>
      <c r="O91" s="36">
        <f>L91-C91+E91</f>
        <v>1.493480000000027</v>
      </c>
      <c r="P91" s="32">
        <f t="shared" si="7"/>
        <v>1.558280000000027</v>
      </c>
      <c r="Q91" s="36">
        <f t="shared" si="7"/>
        <v>1.6230800000000269</v>
      </c>
    </row>
    <row r="92" spans="1:17" x14ac:dyDescent="0.2">
      <c r="C92" s="42"/>
      <c r="E92" s="42"/>
      <c r="G92" s="98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x14ac:dyDescent="0.2">
      <c r="C93" s="42"/>
      <c r="E93" s="42"/>
      <c r="G93" s="98"/>
      <c r="H93" s="12"/>
      <c r="I93" s="12"/>
      <c r="J93" s="12"/>
      <c r="K93" s="12"/>
      <c r="L93" s="12"/>
      <c r="M93" s="12"/>
      <c r="N93" s="171" t="s">
        <v>81</v>
      </c>
      <c r="O93" s="172">
        <f>(SUM($F$57:$F$64)+SUM(O88:O91))/12</f>
        <v>1.5754231666666767</v>
      </c>
      <c r="P93" s="174">
        <f>(SUM($F$57:$F$64)+SUM(P88:P91))/12</f>
        <v>1.5970231666666763</v>
      </c>
      <c r="Q93" s="172">
        <f>(SUM($F$57:$F$64)+SUM(Q88:Q91))/12</f>
        <v>1.6186231666666766</v>
      </c>
    </row>
    <row r="94" spans="1:17" x14ac:dyDescent="0.2">
      <c r="C94" s="42"/>
      <c r="E94" s="42"/>
      <c r="G94" s="98"/>
      <c r="H94" s="12"/>
      <c r="I94" s="12"/>
      <c r="J94" s="12"/>
      <c r="K94" s="12"/>
      <c r="L94" s="12"/>
      <c r="M94" s="12"/>
      <c r="N94" s="12"/>
      <c r="O94" s="122">
        <f>O93-P93</f>
        <v>-2.159999999999962E-2</v>
      </c>
      <c r="P94" s="12"/>
      <c r="Q94" s="122">
        <f>Q93-P93</f>
        <v>2.1600000000000286E-2</v>
      </c>
    </row>
    <row r="95" spans="1:17" x14ac:dyDescent="0.2">
      <c r="C95" s="42"/>
      <c r="E95" s="42"/>
      <c r="G95" s="98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x14ac:dyDescent="0.2">
      <c r="C96" s="42"/>
      <c r="E96" s="42"/>
      <c r="G96" s="96" t="s">
        <v>33</v>
      </c>
      <c r="H96" s="140" t="s">
        <v>34</v>
      </c>
      <c r="I96" s="140" t="s">
        <v>18</v>
      </c>
      <c r="J96" s="140" t="s">
        <v>19</v>
      </c>
      <c r="K96" s="140" t="s">
        <v>20</v>
      </c>
      <c r="L96" s="140" t="s">
        <v>21</v>
      </c>
      <c r="M96" s="140" t="s">
        <v>22</v>
      </c>
      <c r="N96" s="140" t="s">
        <v>23</v>
      </c>
      <c r="O96" s="140" t="s">
        <v>24</v>
      </c>
      <c r="P96" s="140" t="s">
        <v>25</v>
      </c>
      <c r="Q96" s="140" t="s">
        <v>26</v>
      </c>
    </row>
    <row r="97" spans="1:17" s="1" customFormat="1" x14ac:dyDescent="0.2">
      <c r="A97" s="2">
        <v>45474</v>
      </c>
      <c r="B97" s="1">
        <v>16.91</v>
      </c>
      <c r="C97" s="42">
        <v>16.23</v>
      </c>
      <c r="D97" s="1">
        <v>0.68</v>
      </c>
      <c r="E97" s="42">
        <v>0.8</v>
      </c>
      <c r="F97" s="34">
        <v>1.48</v>
      </c>
      <c r="G97" s="236" t="s">
        <v>32</v>
      </c>
      <c r="H97" s="237"/>
      <c r="I97" s="237"/>
      <c r="J97" s="237"/>
      <c r="K97" s="237"/>
      <c r="L97" s="237"/>
      <c r="M97" s="237"/>
      <c r="N97" s="237"/>
      <c r="O97" s="237"/>
      <c r="P97" s="237"/>
      <c r="Q97" s="237"/>
    </row>
    <row r="98" spans="1:17" s="1" customFormat="1" ht="13.5" thickBot="1" x14ac:dyDescent="0.25">
      <c r="A98" s="2">
        <v>45505</v>
      </c>
      <c r="B98" s="123">
        <v>16.823608</v>
      </c>
      <c r="C98" s="42">
        <v>16.11</v>
      </c>
      <c r="D98" s="44">
        <f>B98-C98</f>
        <v>0.71360800000000069</v>
      </c>
      <c r="E98" s="42">
        <v>0.8</v>
      </c>
      <c r="F98" s="34">
        <f>D98+E98</f>
        <v>1.5136080000000007</v>
      </c>
      <c r="G98" s="236"/>
      <c r="H98" s="237"/>
      <c r="I98" s="237"/>
      <c r="J98" s="237"/>
      <c r="K98" s="237"/>
      <c r="L98" s="237"/>
      <c r="M98" s="237"/>
      <c r="N98" s="237"/>
      <c r="O98" s="237"/>
      <c r="P98" s="237"/>
      <c r="Q98" s="237"/>
    </row>
    <row r="99" spans="1:17" s="1" customFormat="1" x14ac:dyDescent="0.2">
      <c r="A99" s="23">
        <v>45536</v>
      </c>
      <c r="C99" s="42">
        <v>15.45</v>
      </c>
      <c r="E99" s="42">
        <v>0.81</v>
      </c>
      <c r="G99" s="144">
        <v>289.19353999999998</v>
      </c>
      <c r="H99" s="54">
        <f>G99-273.15</f>
        <v>16.043540000000007</v>
      </c>
      <c r="I99" s="167">
        <v>0.1152</v>
      </c>
      <c r="J99" s="142">
        <v>0.18</v>
      </c>
      <c r="K99" s="167">
        <v>0.24479999999999999</v>
      </c>
      <c r="L99" s="54">
        <f>H99+I99</f>
        <v>16.158740000000009</v>
      </c>
      <c r="M99" s="143">
        <f>H99+J99</f>
        <v>16.223540000000007</v>
      </c>
      <c r="N99" s="54">
        <f>H99+K99</f>
        <v>16.288340000000009</v>
      </c>
      <c r="O99" s="36">
        <f>L99-C99+E99</f>
        <v>1.5187400000000095</v>
      </c>
      <c r="P99" s="27">
        <f t="shared" ref="P99:Q102" si="8">M99-$C99+$E99</f>
        <v>1.5835400000000077</v>
      </c>
      <c r="Q99" s="36">
        <f t="shared" si="8"/>
        <v>1.6483400000000095</v>
      </c>
    </row>
    <row r="100" spans="1:17" s="1" customFormat="1" x14ac:dyDescent="0.2">
      <c r="A100" s="17">
        <v>45566</v>
      </c>
      <c r="C100" s="42">
        <v>14.45</v>
      </c>
      <c r="E100" s="42">
        <v>0.85</v>
      </c>
      <c r="G100" s="145">
        <v>288.21550000000002</v>
      </c>
      <c r="H100" s="54">
        <f>G100-273.15</f>
        <v>15.065500000000043</v>
      </c>
      <c r="I100" s="167">
        <v>0.113</v>
      </c>
      <c r="J100" s="142">
        <v>0.192</v>
      </c>
      <c r="K100" s="167">
        <v>0.26</v>
      </c>
      <c r="L100" s="54">
        <f>H100+I100</f>
        <v>15.178500000000042</v>
      </c>
      <c r="M100" s="143">
        <f>H100+J100</f>
        <v>15.257500000000043</v>
      </c>
      <c r="N100" s="54">
        <f>H100+K100</f>
        <v>15.325500000000043</v>
      </c>
      <c r="O100" s="36">
        <f>L100-C100+E100</f>
        <v>1.5785000000000431</v>
      </c>
      <c r="P100" s="28">
        <f t="shared" si="8"/>
        <v>1.6575000000000437</v>
      </c>
      <c r="Q100" s="36">
        <f t="shared" si="8"/>
        <v>1.7255000000000433</v>
      </c>
    </row>
    <row r="101" spans="1:17" s="1" customFormat="1" x14ac:dyDescent="0.2">
      <c r="A101" s="17">
        <v>45597</v>
      </c>
      <c r="C101" s="42">
        <v>13.37</v>
      </c>
      <c r="E101" s="42">
        <v>0.89</v>
      </c>
      <c r="G101" s="145">
        <v>287.12335000000002</v>
      </c>
      <c r="H101" s="54">
        <f>G101-273.15</f>
        <v>13.973350000000039</v>
      </c>
      <c r="I101" s="167">
        <v>0.11</v>
      </c>
      <c r="J101" s="142">
        <v>0.20300000000000001</v>
      </c>
      <c r="K101" s="167">
        <v>0.28499999999999998</v>
      </c>
      <c r="L101" s="54">
        <f>H101+I101</f>
        <v>14.083350000000038</v>
      </c>
      <c r="M101" s="143">
        <f>H101+J101</f>
        <v>14.176350000000038</v>
      </c>
      <c r="N101" s="54">
        <f>H101+K101</f>
        <v>14.258350000000039</v>
      </c>
      <c r="O101" s="36">
        <f>L101-C101+E101</f>
        <v>1.6033500000000394</v>
      </c>
      <c r="P101" s="28">
        <f t="shared" si="8"/>
        <v>1.6963500000000393</v>
      </c>
      <c r="Q101" s="36">
        <f t="shared" si="8"/>
        <v>1.7783500000000401</v>
      </c>
    </row>
    <row r="102" spans="1:17" s="1" customFormat="1" ht="13.5" thickBot="1" x14ac:dyDescent="0.25">
      <c r="A102" s="21">
        <v>45627</v>
      </c>
      <c r="C102" s="42">
        <v>12.67</v>
      </c>
      <c r="E102" s="42">
        <v>0.93</v>
      </c>
      <c r="G102" s="147">
        <v>286.26828</v>
      </c>
      <c r="H102" s="54">
        <f>G102-273.15</f>
        <v>13.118280000000027</v>
      </c>
      <c r="I102" s="54">
        <v>0.10630000000000001</v>
      </c>
      <c r="J102" s="142">
        <v>0.2167</v>
      </c>
      <c r="K102" s="167">
        <v>0.32700000000000001</v>
      </c>
      <c r="L102" s="54">
        <f>H102+I102</f>
        <v>13.224580000000026</v>
      </c>
      <c r="M102" s="143">
        <f>H102+J102</f>
        <v>13.334980000000026</v>
      </c>
      <c r="N102" s="54">
        <f>H102+K102</f>
        <v>13.445280000000027</v>
      </c>
      <c r="O102" s="36">
        <f>L102-C102+E102</f>
        <v>1.4845800000000264</v>
      </c>
      <c r="P102" s="32">
        <f t="shared" si="8"/>
        <v>1.5949800000000267</v>
      </c>
      <c r="Q102" s="36">
        <f t="shared" si="8"/>
        <v>1.7052800000000272</v>
      </c>
    </row>
    <row r="103" spans="1:17" s="1" customFormat="1" x14ac:dyDescent="0.2">
      <c r="G103" s="98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x14ac:dyDescent="0.2">
      <c r="G104" s="98"/>
      <c r="H104" s="12"/>
      <c r="I104" s="12"/>
      <c r="J104" s="12"/>
      <c r="K104" s="12"/>
      <c r="L104" s="12"/>
      <c r="M104" s="12"/>
      <c r="N104" s="171" t="s">
        <v>81</v>
      </c>
      <c r="O104" s="175">
        <f>(SUM($F$57:$F$64)+SUM(O99:O102))/12</f>
        <v>1.5740648333333433</v>
      </c>
      <c r="P104" s="173">
        <f>(SUM($F$57:$F$64)+SUM(P99:P102))/12</f>
        <v>1.6029981666666764</v>
      </c>
      <c r="Q104" s="176">
        <f>(SUM($F$57:$F$64)+SUM(Q99:Q102))/12</f>
        <v>1.6300898333333436</v>
      </c>
    </row>
    <row r="105" spans="1:17" s="1" customFormat="1" ht="13.5" thickBot="1" x14ac:dyDescent="0.25">
      <c r="G105" s="148"/>
      <c r="H105" s="149"/>
      <c r="I105" s="149"/>
      <c r="J105" s="149"/>
      <c r="K105" s="149"/>
      <c r="L105" s="149"/>
      <c r="M105" s="149"/>
      <c r="N105" s="149"/>
      <c r="O105" s="150">
        <f>O104-P104</f>
        <v>-2.8933333333333033E-2</v>
      </c>
      <c r="P105" s="151"/>
      <c r="Q105" s="152">
        <f>Q104-P104</f>
        <v>2.709166666666718E-2</v>
      </c>
    </row>
    <row r="106" spans="1:17" x14ac:dyDescent="0.2"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</row>
    <row r="107" spans="1:17" x14ac:dyDescent="0.2">
      <c r="A107" s="112" t="s">
        <v>79</v>
      </c>
    </row>
    <row r="108" spans="1:17" x14ac:dyDescent="0.2">
      <c r="G108" s="5" t="s">
        <v>35</v>
      </c>
      <c r="H108" s="6" t="s">
        <v>36</v>
      </c>
      <c r="I108" s="6" t="s">
        <v>18</v>
      </c>
      <c r="J108" s="6" t="s">
        <v>19</v>
      </c>
      <c r="K108" s="6" t="s">
        <v>20</v>
      </c>
      <c r="L108" s="6" t="s">
        <v>21</v>
      </c>
      <c r="M108" s="6" t="s">
        <v>22</v>
      </c>
      <c r="N108" s="6" t="s">
        <v>23</v>
      </c>
      <c r="O108" s="6" t="s">
        <v>24</v>
      </c>
      <c r="P108" s="6" t="s">
        <v>25</v>
      </c>
      <c r="Q108" s="6" t="s">
        <v>26</v>
      </c>
    </row>
    <row r="109" spans="1:17" x14ac:dyDescent="0.2">
      <c r="A109" s="2">
        <v>45474</v>
      </c>
      <c r="B109" s="1">
        <v>16.91</v>
      </c>
      <c r="C109" s="42">
        <v>16.23</v>
      </c>
      <c r="D109" s="1">
        <v>0.68</v>
      </c>
      <c r="E109" s="42">
        <v>0.8</v>
      </c>
      <c r="F109" s="34">
        <v>1.48</v>
      </c>
      <c r="G109" s="237" t="s">
        <v>32</v>
      </c>
      <c r="H109" s="237"/>
      <c r="I109" s="237"/>
      <c r="J109" s="237"/>
      <c r="K109" s="237"/>
      <c r="L109" s="237"/>
      <c r="M109" s="237"/>
      <c r="N109" s="237"/>
      <c r="O109" s="237"/>
      <c r="P109" s="237"/>
      <c r="Q109" s="237"/>
    </row>
    <row r="110" spans="1:17" x14ac:dyDescent="0.2">
      <c r="A110" s="2">
        <v>45505</v>
      </c>
      <c r="B110" s="123">
        <v>16.823608</v>
      </c>
      <c r="C110" s="42">
        <v>16.11</v>
      </c>
      <c r="D110" s="44">
        <f>B110-C110</f>
        <v>0.71360800000000069</v>
      </c>
      <c r="E110" s="42">
        <v>0.8</v>
      </c>
      <c r="F110" s="34">
        <f>D110+E110</f>
        <v>1.5136080000000007</v>
      </c>
      <c r="G110" s="237"/>
      <c r="H110" s="237"/>
      <c r="I110" s="237"/>
      <c r="J110" s="237"/>
      <c r="K110" s="237"/>
      <c r="L110" s="237"/>
      <c r="M110" s="237"/>
      <c r="N110" s="237"/>
      <c r="O110" s="237"/>
      <c r="P110" s="237"/>
      <c r="Q110" s="237"/>
    </row>
    <row r="111" spans="1:17" ht="13.5" thickBot="1" x14ac:dyDescent="0.25">
      <c r="A111" s="37">
        <v>45536</v>
      </c>
      <c r="B111" s="124">
        <v>16.174042</v>
      </c>
      <c r="C111" s="42">
        <v>15.45</v>
      </c>
      <c r="D111" s="54">
        <f>B111-C111</f>
        <v>0.72404200000000074</v>
      </c>
      <c r="E111" s="42">
        <v>0.81</v>
      </c>
      <c r="F111" s="125">
        <f>D111+E111</f>
        <v>1.5340420000000008</v>
      </c>
      <c r="G111" s="237"/>
      <c r="H111" s="237"/>
      <c r="I111" s="237"/>
      <c r="J111" s="237"/>
      <c r="K111" s="237"/>
      <c r="L111" s="237"/>
      <c r="M111" s="237"/>
      <c r="N111" s="237"/>
      <c r="O111" s="237"/>
      <c r="P111" s="237"/>
      <c r="Q111" s="237"/>
    </row>
    <row r="112" spans="1:17" x14ac:dyDescent="0.2">
      <c r="A112" s="17">
        <v>45566</v>
      </c>
      <c r="C112" s="42">
        <v>14.45</v>
      </c>
      <c r="E112" s="42">
        <v>0.85</v>
      </c>
      <c r="G112" s="132">
        <v>288.221</v>
      </c>
      <c r="H112" s="136">
        <f>G112-273.15</f>
        <v>15.071000000000026</v>
      </c>
      <c r="I112" s="168">
        <v>0.11</v>
      </c>
      <c r="J112" s="25">
        <v>0.19</v>
      </c>
      <c r="K112" s="168">
        <v>0.27</v>
      </c>
      <c r="L112" s="44">
        <f>H112+I112</f>
        <v>15.181000000000026</v>
      </c>
      <c r="M112" s="128">
        <f>H112+J112</f>
        <v>15.261000000000026</v>
      </c>
      <c r="N112" s="54">
        <f>H112+K112</f>
        <v>15.341000000000026</v>
      </c>
      <c r="O112" s="193">
        <f>L112-C112+E112</f>
        <v>1.5810000000000266</v>
      </c>
      <c r="P112" s="190">
        <f t="shared" ref="P112:Q114" si="9">M112-$C112+$E112</f>
        <v>1.6610000000000267</v>
      </c>
      <c r="Q112" s="195">
        <f t="shared" si="9"/>
        <v>1.7410000000000267</v>
      </c>
    </row>
    <row r="113" spans="1:17" x14ac:dyDescent="0.2">
      <c r="A113" s="17">
        <v>45597</v>
      </c>
      <c r="C113" s="42">
        <v>13.37</v>
      </c>
      <c r="E113" s="42">
        <v>0.89</v>
      </c>
      <c r="G113" s="54">
        <v>287.11135999999999</v>
      </c>
      <c r="H113" s="136">
        <f>G113-273.15</f>
        <v>13.961360000000013</v>
      </c>
      <c r="I113" s="168">
        <v>0.11</v>
      </c>
      <c r="J113" s="25">
        <v>0.19</v>
      </c>
      <c r="K113" s="168">
        <v>0.27</v>
      </c>
      <c r="L113" s="44">
        <f>H113+I113</f>
        <v>14.071360000000013</v>
      </c>
      <c r="M113" s="128">
        <f>H113+J113</f>
        <v>14.151360000000013</v>
      </c>
      <c r="N113" s="54">
        <f>H113+K113</f>
        <v>14.231360000000013</v>
      </c>
      <c r="O113" s="194">
        <f>L113-C113+E113</f>
        <v>1.5913600000000137</v>
      </c>
      <c r="P113" s="191">
        <f t="shared" si="9"/>
        <v>1.6713600000000137</v>
      </c>
      <c r="Q113" s="196">
        <f t="shared" si="9"/>
        <v>1.7513600000000138</v>
      </c>
    </row>
    <row r="114" spans="1:17" ht="13.5" thickBot="1" x14ac:dyDescent="0.25">
      <c r="A114" s="21">
        <v>45627</v>
      </c>
      <c r="C114" s="42">
        <v>12.67</v>
      </c>
      <c r="E114" s="42">
        <v>0.93</v>
      </c>
      <c r="G114" s="133">
        <v>286.30984999999998</v>
      </c>
      <c r="H114" s="136">
        <f>G114-273.15</f>
        <v>13.159850000000006</v>
      </c>
      <c r="I114" s="54">
        <v>0.11</v>
      </c>
      <c r="J114" s="25">
        <v>0.19</v>
      </c>
      <c r="K114" s="167">
        <v>0.27</v>
      </c>
      <c r="L114" s="44">
        <f>H114+I114</f>
        <v>13.269850000000005</v>
      </c>
      <c r="M114" s="128">
        <f>H114+J114</f>
        <v>13.349850000000005</v>
      </c>
      <c r="N114" s="54">
        <f>H114+K114</f>
        <v>13.429850000000005</v>
      </c>
      <c r="O114" s="194">
        <f>L114-C114+E114</f>
        <v>1.5298500000000055</v>
      </c>
      <c r="P114" s="192">
        <f t="shared" si="9"/>
        <v>1.6098500000000056</v>
      </c>
      <c r="Q114" s="196">
        <f t="shared" si="9"/>
        <v>1.6898500000000056</v>
      </c>
    </row>
    <row r="115" spans="1:17" x14ac:dyDescent="0.2">
      <c r="C115" s="42"/>
      <c r="E115" s="42"/>
      <c r="N115" s="12"/>
      <c r="O115" s="177"/>
      <c r="P115" s="12"/>
      <c r="Q115" s="178"/>
    </row>
    <row r="116" spans="1:17" ht="13.5" thickBot="1" x14ac:dyDescent="0.25">
      <c r="C116" s="42"/>
      <c r="E116" s="42"/>
      <c r="N116" s="12"/>
      <c r="O116" s="177"/>
      <c r="P116" s="12"/>
      <c r="Q116" s="178"/>
    </row>
    <row r="117" spans="1:17" ht="13.5" thickBot="1" x14ac:dyDescent="0.25">
      <c r="C117" s="42"/>
      <c r="E117" s="42"/>
      <c r="N117" s="101" t="s">
        <v>81</v>
      </c>
      <c r="O117" s="179">
        <f>(SUM($F$57:$F$65)+SUM(O112:O114))/12</f>
        <v>1.5783216666666704</v>
      </c>
      <c r="P117" s="188">
        <f>(SUM($F$57:$F$65)+SUM(P112:P114))/12</f>
        <v>1.5983216666666706</v>
      </c>
      <c r="Q117" s="180">
        <f>(SUM($F$57:$F$65)+SUM(Q112:Q114))/12</f>
        <v>1.6183216666666709</v>
      </c>
    </row>
    <row r="118" spans="1:17" ht="13.5" thickBot="1" x14ac:dyDescent="0.25">
      <c r="C118" s="42"/>
      <c r="E118" s="42"/>
      <c r="N118" s="12"/>
      <c r="O118" s="100">
        <f>O117-P117</f>
        <v>-2.000000000000024E-2</v>
      </c>
      <c r="P118" s="181"/>
      <c r="Q118" s="100">
        <f>Q117-P117</f>
        <v>2.000000000000024E-2</v>
      </c>
    </row>
    <row r="119" spans="1:17" x14ac:dyDescent="0.2">
      <c r="A119" s="112" t="s">
        <v>80</v>
      </c>
      <c r="C119" s="42"/>
      <c r="E119" s="42"/>
    </row>
    <row r="120" spans="1:17" x14ac:dyDescent="0.2">
      <c r="C120" s="42"/>
      <c r="E120" s="42"/>
      <c r="G120" s="5" t="s">
        <v>35</v>
      </c>
      <c r="H120" s="6" t="s">
        <v>36</v>
      </c>
      <c r="I120" s="6" t="s">
        <v>18</v>
      </c>
      <c r="J120" s="6" t="s">
        <v>19</v>
      </c>
      <c r="K120" s="6" t="s">
        <v>20</v>
      </c>
      <c r="L120" s="6" t="s">
        <v>21</v>
      </c>
      <c r="M120" s="6" t="s">
        <v>22</v>
      </c>
      <c r="N120" s="6" t="s">
        <v>23</v>
      </c>
      <c r="O120" s="6" t="s">
        <v>24</v>
      </c>
      <c r="P120" s="6" t="s">
        <v>25</v>
      </c>
      <c r="Q120" s="6" t="s">
        <v>26</v>
      </c>
    </row>
    <row r="121" spans="1:17" x14ac:dyDescent="0.2">
      <c r="A121" s="2">
        <v>45474</v>
      </c>
      <c r="B121" s="1">
        <v>16.91</v>
      </c>
      <c r="C121" s="42">
        <v>16.23</v>
      </c>
      <c r="D121" s="1">
        <v>0.68</v>
      </c>
      <c r="E121" s="42">
        <v>0.8</v>
      </c>
      <c r="F121" s="34">
        <v>1.48</v>
      </c>
      <c r="G121" s="237" t="s">
        <v>32</v>
      </c>
      <c r="H121" s="237"/>
      <c r="I121" s="237"/>
      <c r="J121" s="237"/>
      <c r="K121" s="237"/>
      <c r="L121" s="237"/>
      <c r="M121" s="237"/>
      <c r="N121" s="237"/>
      <c r="O121" s="237"/>
      <c r="P121" s="237"/>
      <c r="Q121" s="237"/>
    </row>
    <row r="122" spans="1:17" x14ac:dyDescent="0.2">
      <c r="A122" s="2">
        <v>45505</v>
      </c>
      <c r="B122" s="123">
        <v>16.823608</v>
      </c>
      <c r="C122" s="42">
        <v>16.11</v>
      </c>
      <c r="D122" s="44">
        <f>B122-C122</f>
        <v>0.71360800000000069</v>
      </c>
      <c r="E122" s="42">
        <v>0.8</v>
      </c>
      <c r="F122" s="34">
        <f>D122+E122</f>
        <v>1.5136080000000007</v>
      </c>
      <c r="G122" s="237"/>
      <c r="H122" s="237"/>
      <c r="I122" s="237"/>
      <c r="J122" s="237"/>
      <c r="K122" s="237"/>
      <c r="L122" s="237"/>
      <c r="M122" s="237"/>
      <c r="N122" s="237"/>
      <c r="O122" s="237"/>
      <c r="P122" s="237"/>
      <c r="Q122" s="237"/>
    </row>
    <row r="123" spans="1:17" ht="13.5" thickBot="1" x14ac:dyDescent="0.25">
      <c r="A123" s="37">
        <v>45536</v>
      </c>
      <c r="B123" s="124">
        <v>16.174042</v>
      </c>
      <c r="C123" s="42">
        <v>15.45</v>
      </c>
      <c r="D123" s="54">
        <f>B123-C123</f>
        <v>0.72404200000000074</v>
      </c>
      <c r="E123" s="42">
        <v>0.81</v>
      </c>
      <c r="F123" s="125">
        <f>D123+E123</f>
        <v>1.5340420000000008</v>
      </c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</row>
    <row r="124" spans="1:17" x14ac:dyDescent="0.2">
      <c r="A124" s="17">
        <v>45566</v>
      </c>
      <c r="C124" s="42">
        <v>14.45</v>
      </c>
      <c r="E124" s="42">
        <v>0.85</v>
      </c>
      <c r="G124" s="132">
        <v>288.221</v>
      </c>
      <c r="H124" s="44">
        <f>G124-273.15</f>
        <v>15.071000000000026</v>
      </c>
      <c r="I124" s="168">
        <v>0.1152</v>
      </c>
      <c r="J124" s="25">
        <v>0.18</v>
      </c>
      <c r="K124" s="168">
        <v>0.24479999999999999</v>
      </c>
      <c r="L124" s="44">
        <f>H124+I124</f>
        <v>15.186200000000026</v>
      </c>
      <c r="M124" s="128">
        <f>H124+J124</f>
        <v>15.251000000000026</v>
      </c>
      <c r="N124" s="54">
        <f>H124+K124</f>
        <v>15.315800000000026</v>
      </c>
      <c r="O124" s="197">
        <f>L124-C124+E124</f>
        <v>1.5862000000000269</v>
      </c>
      <c r="P124" s="27">
        <f t="shared" ref="P124:Q126" si="10">M124-$C124+$E124</f>
        <v>1.6510000000000269</v>
      </c>
      <c r="Q124" s="198">
        <f t="shared" si="10"/>
        <v>1.7158000000000269</v>
      </c>
    </row>
    <row r="125" spans="1:17" x14ac:dyDescent="0.2">
      <c r="A125" s="17">
        <v>45597</v>
      </c>
      <c r="C125" s="42">
        <v>13.37</v>
      </c>
      <c r="E125" s="42">
        <v>0.89</v>
      </c>
      <c r="G125" s="54">
        <v>287.11135999999999</v>
      </c>
      <c r="H125" s="44">
        <f>G125-273.15</f>
        <v>13.961360000000013</v>
      </c>
      <c r="I125" s="168">
        <v>0.113</v>
      </c>
      <c r="J125" s="25">
        <v>0.192</v>
      </c>
      <c r="K125" s="168">
        <v>0.26</v>
      </c>
      <c r="L125" s="44">
        <f>H125+I125</f>
        <v>14.074360000000013</v>
      </c>
      <c r="M125" s="128">
        <f>H125+J125</f>
        <v>14.153360000000013</v>
      </c>
      <c r="N125" s="54">
        <f>H125+K125</f>
        <v>14.221360000000013</v>
      </c>
      <c r="O125" s="199">
        <f>L125-C125+E125</f>
        <v>1.5943600000000138</v>
      </c>
      <c r="P125" s="28">
        <f t="shared" si="10"/>
        <v>1.6733600000000144</v>
      </c>
      <c r="Q125" s="200">
        <f t="shared" si="10"/>
        <v>1.741360000000014</v>
      </c>
    </row>
    <row r="126" spans="1:17" ht="13.5" thickBot="1" x14ac:dyDescent="0.25">
      <c r="A126" s="21">
        <v>45627</v>
      </c>
      <c r="C126" s="42">
        <v>12.67</v>
      </c>
      <c r="E126" s="42">
        <v>0.93</v>
      </c>
      <c r="G126" s="133">
        <v>286.30984999999998</v>
      </c>
      <c r="H126" s="44">
        <f>G126-273.15</f>
        <v>13.159850000000006</v>
      </c>
      <c r="I126" s="168">
        <v>0.11</v>
      </c>
      <c r="J126" s="25">
        <v>0.20300000000000001</v>
      </c>
      <c r="K126" s="168">
        <v>0.28499999999999998</v>
      </c>
      <c r="L126" s="44">
        <f>H126+I126</f>
        <v>13.269850000000005</v>
      </c>
      <c r="M126" s="128">
        <f>H126+J126</f>
        <v>13.362850000000005</v>
      </c>
      <c r="N126" s="54">
        <f>H126+K126</f>
        <v>13.444850000000006</v>
      </c>
      <c r="O126" s="199">
        <f>L126-C126+E126</f>
        <v>1.5298500000000055</v>
      </c>
      <c r="P126" s="32">
        <f t="shared" si="10"/>
        <v>1.6228500000000055</v>
      </c>
      <c r="Q126" s="200">
        <f t="shared" si="10"/>
        <v>1.7048500000000062</v>
      </c>
    </row>
    <row r="127" spans="1:17" x14ac:dyDescent="0.2">
      <c r="N127" s="12"/>
      <c r="O127" s="182"/>
      <c r="P127" s="12"/>
      <c r="Q127" s="183"/>
    </row>
    <row r="128" spans="1:17" x14ac:dyDescent="0.2">
      <c r="N128" s="12"/>
      <c r="O128" s="182"/>
      <c r="P128" s="12"/>
      <c r="Q128" s="183"/>
    </row>
    <row r="129" spans="2:17" x14ac:dyDescent="0.2">
      <c r="B129" s="230"/>
      <c r="C129" s="230"/>
      <c r="D129" s="230"/>
      <c r="E129" s="230"/>
      <c r="F129" s="230"/>
      <c r="G129" s="231" t="s">
        <v>93</v>
      </c>
      <c r="H129" s="232">
        <f>P117-AVERAGE(F45:F56)</f>
        <v>0.11748833333333741</v>
      </c>
      <c r="N129" s="101" t="s">
        <v>81</v>
      </c>
      <c r="O129" s="184">
        <f>(SUM($F$57:$F$65)+SUM(O124:O126))/12</f>
        <v>1.579005000000004</v>
      </c>
      <c r="P129" s="189">
        <f>(SUM($F$57:$F$65)+SUM(P124:P126))/12</f>
        <v>1.5987383333333376</v>
      </c>
      <c r="Q129" s="185">
        <f>(SUM($F$57:$F$65)+SUM(Q124:Q126))/12</f>
        <v>1.6166383333333372</v>
      </c>
    </row>
    <row r="130" spans="2:17" x14ac:dyDescent="0.2">
      <c r="N130" s="12"/>
      <c r="O130" s="186">
        <f>O129-P129</f>
        <v>-1.9733333333333603E-2</v>
      </c>
      <c r="P130" s="187"/>
      <c r="Q130" s="186">
        <f>Q129-P129</f>
        <v>1.7899999999999583E-2</v>
      </c>
    </row>
  </sheetData>
  <mergeCells count="8">
    <mergeCell ref="S52:S64"/>
    <mergeCell ref="G97:Q98"/>
    <mergeCell ref="G109:Q111"/>
    <mergeCell ref="G121:Q123"/>
    <mergeCell ref="R65:R70"/>
    <mergeCell ref="R52:R62"/>
    <mergeCell ref="G75:Q75"/>
    <mergeCell ref="G86:Q87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  <ignoredErrors>
    <ignoredError sqref="P1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49"/>
  <sheetViews>
    <sheetView zoomScaleNormal="100" workbookViewId="0">
      <selection activeCell="A18" sqref="A18"/>
    </sheetView>
  </sheetViews>
  <sheetFormatPr defaultColWidth="11.5703125" defaultRowHeight="12.75" x14ac:dyDescent="0.2"/>
  <cols>
    <col min="1" max="1" width="13" customWidth="1"/>
    <col min="2" max="2" width="13" style="1" customWidth="1"/>
    <col min="3" max="3" width="13.42578125" style="1" customWidth="1"/>
    <col min="4" max="4" width="13" style="1" customWidth="1"/>
    <col min="5" max="5" width="18.7109375" customWidth="1"/>
    <col min="6" max="9" width="19.7109375" style="1" customWidth="1"/>
  </cols>
  <sheetData>
    <row r="2" spans="1:8" x14ac:dyDescent="0.2">
      <c r="A2" s="240" t="s">
        <v>49</v>
      </c>
      <c r="B2" s="240"/>
      <c r="C2" s="240"/>
      <c r="D2" s="240"/>
      <c r="E2" s="240"/>
      <c r="F2" s="240"/>
    </row>
    <row r="3" spans="1:8" x14ac:dyDescent="0.2">
      <c r="B3" s="102" t="s">
        <v>73</v>
      </c>
      <c r="D3" s="6" t="s">
        <v>50</v>
      </c>
      <c r="E3" s="6" t="s">
        <v>51</v>
      </c>
      <c r="F3" s="65" t="s">
        <v>72</v>
      </c>
    </row>
    <row r="4" spans="1:8" x14ac:dyDescent="0.2">
      <c r="A4" s="241" t="s">
        <v>38</v>
      </c>
      <c r="B4" s="66">
        <v>1</v>
      </c>
      <c r="C4" s="66"/>
      <c r="D4" s="208">
        <v>1.66</v>
      </c>
      <c r="E4" s="242">
        <f>AVERAGE(D4:D10)</f>
        <v>1.5985714285714285</v>
      </c>
      <c r="F4" s="242"/>
      <c r="G4" s="68"/>
      <c r="H4" s="68"/>
    </row>
    <row r="5" spans="1:8" x14ac:dyDescent="0.2">
      <c r="A5" s="241"/>
      <c r="B5" s="69">
        <v>2</v>
      </c>
      <c r="C5" s="69"/>
      <c r="D5" s="209">
        <v>1.77</v>
      </c>
      <c r="E5" s="242"/>
      <c r="F5" s="242"/>
      <c r="G5" s="12"/>
      <c r="H5" s="12"/>
    </row>
    <row r="6" spans="1:8" x14ac:dyDescent="0.2">
      <c r="A6" s="241"/>
      <c r="B6" s="69">
        <v>3</v>
      </c>
      <c r="C6" s="69"/>
      <c r="D6" s="209">
        <v>1.68</v>
      </c>
      <c r="E6" s="242"/>
      <c r="F6" s="242"/>
      <c r="G6" s="12"/>
      <c r="H6" s="12"/>
    </row>
    <row r="7" spans="1:8" x14ac:dyDescent="0.2">
      <c r="A7" s="241"/>
      <c r="B7" s="69">
        <v>4</v>
      </c>
      <c r="C7" s="69"/>
      <c r="D7" s="209">
        <v>1.58</v>
      </c>
      <c r="E7" s="242"/>
      <c r="F7" s="242"/>
      <c r="G7" s="12"/>
      <c r="H7" s="12"/>
    </row>
    <row r="8" spans="1:8" x14ac:dyDescent="0.2">
      <c r="A8" s="241"/>
      <c r="B8" s="69">
        <v>5</v>
      </c>
      <c r="C8" s="69"/>
      <c r="D8" s="209">
        <v>1.52</v>
      </c>
      <c r="E8" s="242"/>
      <c r="F8" s="242"/>
      <c r="G8" s="12"/>
      <c r="H8" s="12"/>
    </row>
    <row r="9" spans="1:8" x14ac:dyDescent="0.2">
      <c r="A9" s="241"/>
      <c r="B9" s="69">
        <v>6</v>
      </c>
      <c r="C9" s="69"/>
      <c r="D9" s="209">
        <v>1.5</v>
      </c>
      <c r="E9" s="242"/>
      <c r="F9" s="242"/>
      <c r="G9" s="12"/>
      <c r="H9" s="12"/>
    </row>
    <row r="10" spans="1:8" x14ac:dyDescent="0.2">
      <c r="A10" s="241"/>
      <c r="B10" s="70">
        <v>7</v>
      </c>
      <c r="C10" s="70"/>
      <c r="D10" s="209">
        <v>1.48</v>
      </c>
      <c r="E10" s="243"/>
      <c r="F10" s="243"/>
      <c r="G10" s="12"/>
      <c r="H10" s="12"/>
    </row>
    <row r="11" spans="1:8" x14ac:dyDescent="0.2">
      <c r="A11" s="241"/>
      <c r="B11" s="69">
        <v>8</v>
      </c>
      <c r="C11" s="69"/>
      <c r="D11" s="208">
        <v>1.5136080000000001</v>
      </c>
      <c r="E11" s="244">
        <f>AVERAGE(D11:D15)</f>
        <v>1.5979720000000093</v>
      </c>
      <c r="F11" s="245">
        <f>E11-E4</f>
        <v>-5.994285714192582E-4</v>
      </c>
      <c r="G11" s="12"/>
      <c r="H11" s="12"/>
    </row>
    <row r="12" spans="1:8" x14ac:dyDescent="0.2">
      <c r="A12" s="241"/>
      <c r="B12" s="69">
        <v>9</v>
      </c>
      <c r="C12" s="69"/>
      <c r="D12" s="209">
        <v>1.5340419999999999</v>
      </c>
      <c r="E12" s="244"/>
      <c r="F12" s="245"/>
      <c r="G12" s="12"/>
      <c r="H12" s="12"/>
    </row>
    <row r="13" spans="1:8" x14ac:dyDescent="0.2">
      <c r="A13" s="246" t="s">
        <v>39</v>
      </c>
      <c r="B13" s="69">
        <v>10</v>
      </c>
      <c r="C13" s="69"/>
      <c r="D13" s="210">
        <v>1.6610000000000267</v>
      </c>
      <c r="E13" s="244"/>
      <c r="F13" s="245"/>
      <c r="G13" s="12"/>
      <c r="H13" s="12"/>
    </row>
    <row r="14" spans="1:8" x14ac:dyDescent="0.2">
      <c r="A14" s="246"/>
      <c r="B14" s="69">
        <v>11</v>
      </c>
      <c r="C14" s="69"/>
      <c r="D14" s="211">
        <v>1.6713600000000137</v>
      </c>
      <c r="E14" s="244"/>
      <c r="F14" s="245"/>
      <c r="G14" s="12"/>
      <c r="H14" s="12"/>
    </row>
    <row r="15" spans="1:8" x14ac:dyDescent="0.2">
      <c r="A15" s="246"/>
      <c r="B15" s="70">
        <v>12</v>
      </c>
      <c r="C15" s="70"/>
      <c r="D15" s="212">
        <v>1.6098500000000056</v>
      </c>
      <c r="E15" s="244"/>
      <c r="F15" s="245"/>
      <c r="G15" s="71"/>
      <c r="H15" s="71"/>
    </row>
    <row r="16" spans="1:8" x14ac:dyDescent="0.2">
      <c r="D16" s="33" t="s">
        <v>52</v>
      </c>
      <c r="E16" s="222">
        <f>AVERAGE(7*E4+5*E11)/12</f>
        <v>1.5983216666666706</v>
      </c>
      <c r="F16" s="45" t="s">
        <v>53</v>
      </c>
      <c r="G16" s="73" t="s">
        <v>74</v>
      </c>
    </row>
    <row r="17" spans="1:9" x14ac:dyDescent="0.2">
      <c r="D17" s="33"/>
      <c r="E17" s="72"/>
      <c r="F17" s="45"/>
      <c r="G17" s="73"/>
    </row>
    <row r="18" spans="1:9" x14ac:dyDescent="0.2">
      <c r="D18" s="74" t="s">
        <v>54</v>
      </c>
      <c r="E18" s="92">
        <f>1.06*I40</f>
        <v>1.6191464609523851</v>
      </c>
      <c r="F18" s="45"/>
      <c r="G18" s="73"/>
    </row>
    <row r="19" spans="1:9" x14ac:dyDescent="0.2">
      <c r="E19" s="75"/>
      <c r="F19" s="76" t="s">
        <v>82</v>
      </c>
      <c r="G19" s="223">
        <v>0.02</v>
      </c>
      <c r="H19" s="93">
        <f>G19/1.645</f>
        <v>1.2158054711246201E-2</v>
      </c>
    </row>
    <row r="20" spans="1:9" x14ac:dyDescent="0.2">
      <c r="E20" s="75"/>
      <c r="F20" s="76" t="s">
        <v>83</v>
      </c>
      <c r="G20" s="223">
        <v>7.4700000000000003E-2</v>
      </c>
      <c r="H20" s="93">
        <f>G20/1.645</f>
        <v>4.5410334346504558E-2</v>
      </c>
    </row>
    <row r="21" spans="1:9" x14ac:dyDescent="0.2">
      <c r="E21" s="75"/>
      <c r="F21" s="74" t="s">
        <v>55</v>
      </c>
      <c r="G21" s="94">
        <f>H21*1.645</f>
        <v>7.733104163271047E-2</v>
      </c>
      <c r="H21" s="93">
        <f>SQRT(H19^2 +H20^2)</f>
        <v>4.7009751752407576E-2</v>
      </c>
    </row>
    <row r="22" spans="1:9" x14ac:dyDescent="0.2">
      <c r="E22" s="75"/>
      <c r="F22" s="103"/>
      <c r="G22" s="78"/>
      <c r="H22" s="77"/>
    </row>
    <row r="24" spans="1:9" x14ac:dyDescent="0.2">
      <c r="A24" s="248" t="s">
        <v>85</v>
      </c>
      <c r="B24" s="248"/>
      <c r="C24" s="248"/>
      <c r="D24" s="248"/>
      <c r="E24" s="248"/>
      <c r="F24" s="248"/>
      <c r="G24" s="79"/>
      <c r="H24" s="79"/>
      <c r="I24" s="79"/>
    </row>
    <row r="25" spans="1:9" x14ac:dyDescent="0.2">
      <c r="A25" s="106" t="s">
        <v>73</v>
      </c>
      <c r="B25" s="6" t="s">
        <v>56</v>
      </c>
      <c r="C25" s="6" t="s">
        <v>57</v>
      </c>
      <c r="D25" s="6" t="s">
        <v>58</v>
      </c>
      <c r="E25" s="6" t="s">
        <v>59</v>
      </c>
      <c r="F25" s="6" t="s">
        <v>60</v>
      </c>
      <c r="G25" s="6" t="s">
        <v>61</v>
      </c>
      <c r="H25" s="6" t="s">
        <v>62</v>
      </c>
      <c r="I25" s="65" t="s">
        <v>63</v>
      </c>
    </row>
    <row r="26" spans="1:9" x14ac:dyDescent="0.2">
      <c r="A26" s="66">
        <v>1</v>
      </c>
      <c r="B26" s="213">
        <v>1.500456</v>
      </c>
      <c r="C26" s="213">
        <v>1.5388280000000001</v>
      </c>
      <c r="D26" s="213">
        <v>1.549722</v>
      </c>
      <c r="E26" s="214">
        <f t="shared" ref="E26:E32" si="0">AVERAGE(B26:D26)</f>
        <v>1.5296686666666668</v>
      </c>
      <c r="F26" s="242">
        <f>AVERAGE(B26:B32)</f>
        <v>1.5241168571428572</v>
      </c>
      <c r="G26" s="242">
        <f>AVERAGE(C26:C32)</f>
        <v>1.5083579999999999</v>
      </c>
      <c r="H26" s="242">
        <f>AVERAGE(D26:D32)</f>
        <v>1.5507220000000002</v>
      </c>
      <c r="I26" s="242">
        <f>AVERAGE(E26:E32)</f>
        <v>1.5277322857142859</v>
      </c>
    </row>
    <row r="27" spans="1:9" x14ac:dyDescent="0.2">
      <c r="A27" s="69">
        <v>2</v>
      </c>
      <c r="B27" s="215">
        <v>1.6391389999999999</v>
      </c>
      <c r="C27" s="215">
        <v>1.6196079999999999</v>
      </c>
      <c r="D27" s="215">
        <v>1.6697219999999999</v>
      </c>
      <c r="E27" s="216">
        <f t="shared" si="0"/>
        <v>1.6428229999999999</v>
      </c>
      <c r="F27" s="242"/>
      <c r="G27" s="242"/>
      <c r="H27" s="242"/>
      <c r="I27" s="242"/>
    </row>
    <row r="28" spans="1:9" x14ac:dyDescent="0.2">
      <c r="A28" s="69">
        <v>3</v>
      </c>
      <c r="B28" s="215">
        <v>1.600387</v>
      </c>
      <c r="C28" s="215">
        <v>1.5484340000000001</v>
      </c>
      <c r="D28" s="215">
        <v>1.5917220000000001</v>
      </c>
      <c r="E28" s="216">
        <f t="shared" si="0"/>
        <v>1.5801809999999998</v>
      </c>
      <c r="F28" s="242"/>
      <c r="G28" s="242"/>
      <c r="H28" s="242"/>
      <c r="I28" s="242"/>
    </row>
    <row r="29" spans="1:9" x14ac:dyDescent="0.2">
      <c r="A29" s="69">
        <v>4</v>
      </c>
      <c r="B29" s="215">
        <v>1.5541910000000001</v>
      </c>
      <c r="C29" s="215">
        <v>1.5143390000000001</v>
      </c>
      <c r="D29" s="215">
        <v>1.598722</v>
      </c>
      <c r="E29" s="216">
        <f t="shared" si="0"/>
        <v>1.5557506666666665</v>
      </c>
      <c r="F29" s="242"/>
      <c r="G29" s="242"/>
      <c r="H29" s="242"/>
      <c r="I29" s="242"/>
    </row>
    <row r="30" spans="1:9" x14ac:dyDescent="0.2">
      <c r="A30" s="69">
        <v>5</v>
      </c>
      <c r="B30" s="215">
        <v>1.423432</v>
      </c>
      <c r="C30" s="215">
        <v>1.416285</v>
      </c>
      <c r="D30" s="215">
        <v>1.4667220000000001</v>
      </c>
      <c r="E30" s="216">
        <f t="shared" si="0"/>
        <v>1.4354796666666667</v>
      </c>
      <c r="F30" s="242"/>
      <c r="G30" s="242"/>
      <c r="H30" s="242"/>
      <c r="I30" s="242"/>
    </row>
    <row r="31" spans="1:9" x14ac:dyDescent="0.2">
      <c r="A31" s="69">
        <v>6</v>
      </c>
      <c r="B31" s="215">
        <v>1.4643109999999999</v>
      </c>
      <c r="C31" s="215">
        <v>1.457738</v>
      </c>
      <c r="D31" s="215">
        <v>1.4847220000000001</v>
      </c>
      <c r="E31" s="216">
        <f t="shared" si="0"/>
        <v>1.4689236666666667</v>
      </c>
      <c r="F31" s="242"/>
      <c r="G31" s="242"/>
      <c r="H31" s="242"/>
      <c r="I31" s="242"/>
    </row>
    <row r="32" spans="1:9" x14ac:dyDescent="0.2">
      <c r="A32" s="70">
        <v>7</v>
      </c>
      <c r="B32" s="217">
        <v>1.4869019999999999</v>
      </c>
      <c r="C32" s="217">
        <v>1.463274</v>
      </c>
      <c r="D32" s="217">
        <v>1.493722</v>
      </c>
      <c r="E32" s="218">
        <f t="shared" si="0"/>
        <v>1.4812993333333333</v>
      </c>
      <c r="F32" s="243"/>
      <c r="G32" s="243"/>
      <c r="H32" s="243"/>
      <c r="I32" s="243"/>
    </row>
    <row r="33" spans="1:9" x14ac:dyDescent="0.2">
      <c r="A33" s="80">
        <v>8</v>
      </c>
      <c r="B33" s="251" t="s">
        <v>32</v>
      </c>
      <c r="C33" s="251"/>
      <c r="D33" s="251"/>
      <c r="E33" s="251"/>
      <c r="F33" s="247">
        <f>F26+($F$11/1.06)</f>
        <v>1.5235513584905749</v>
      </c>
      <c r="G33" s="247">
        <f>G26+($F$11/1.06)</f>
        <v>1.5077925013477176</v>
      </c>
      <c r="H33" s="247">
        <f>H26+($F$11/1.06)</f>
        <v>1.5501565013477179</v>
      </c>
      <c r="I33" s="247">
        <f>I26+($F$11/1.06)</f>
        <v>1.5271667870620036</v>
      </c>
    </row>
    <row r="34" spans="1:9" x14ac:dyDescent="0.2">
      <c r="A34" s="80">
        <v>9</v>
      </c>
      <c r="B34" s="251"/>
      <c r="C34" s="251"/>
      <c r="D34" s="251"/>
      <c r="E34" s="251"/>
      <c r="F34" s="247"/>
      <c r="G34" s="247"/>
      <c r="H34" s="247"/>
      <c r="I34" s="247"/>
    </row>
    <row r="35" spans="1:9" x14ac:dyDescent="0.2">
      <c r="A35" s="80">
        <v>10</v>
      </c>
      <c r="B35" s="251"/>
      <c r="C35" s="251"/>
      <c r="D35" s="251"/>
      <c r="E35" s="251"/>
      <c r="F35" s="247"/>
      <c r="G35" s="247"/>
      <c r="H35" s="247"/>
      <c r="I35" s="247"/>
    </row>
    <row r="36" spans="1:9" x14ac:dyDescent="0.2">
      <c r="A36" s="80">
        <v>11</v>
      </c>
      <c r="B36" s="251"/>
      <c r="C36" s="251"/>
      <c r="D36" s="251"/>
      <c r="E36" s="251"/>
      <c r="F36" s="247"/>
      <c r="G36" s="247"/>
      <c r="H36" s="247"/>
      <c r="I36" s="247"/>
    </row>
    <row r="37" spans="1:9" x14ac:dyDescent="0.2">
      <c r="A37" s="80">
        <v>12</v>
      </c>
      <c r="B37" s="251"/>
      <c r="C37" s="251"/>
      <c r="D37" s="251"/>
      <c r="E37" s="251"/>
      <c r="F37" s="247"/>
      <c r="G37" s="247"/>
      <c r="H37" s="247"/>
      <c r="I37" s="247"/>
    </row>
    <row r="38" spans="1:9" x14ac:dyDescent="0.2">
      <c r="A38" s="66"/>
      <c r="B38" s="83"/>
      <c r="C38" s="83"/>
      <c r="D38" s="84"/>
      <c r="E38" s="85"/>
      <c r="F38" s="67"/>
      <c r="G38" s="85" t="s">
        <v>84</v>
      </c>
      <c r="H38" s="86">
        <v>3.9899999999999998E-2</v>
      </c>
      <c r="I38" s="87">
        <f>H38/1.645</f>
        <v>2.425531914893617E-2</v>
      </c>
    </row>
    <row r="39" spans="1:9" x14ac:dyDescent="0.2">
      <c r="A39" s="69"/>
      <c r="B39" s="81"/>
      <c r="C39" s="81"/>
      <c r="D39" s="88"/>
      <c r="E39" s="89"/>
      <c r="F39" s="82"/>
      <c r="G39" s="89"/>
      <c r="H39" s="90"/>
    </row>
    <row r="40" spans="1:9" x14ac:dyDescent="0.2">
      <c r="C40" s="249" t="s">
        <v>64</v>
      </c>
      <c r="D40" s="249"/>
      <c r="E40" s="249"/>
      <c r="F40" s="91">
        <f>AVERAGE(7*F26+5*F33)/12</f>
        <v>1.5238812327044062</v>
      </c>
      <c r="G40" s="91">
        <f>AVERAGE(7*G26+5*G33)/12</f>
        <v>1.5081223755615489</v>
      </c>
      <c r="H40" s="91">
        <f>AVERAGE(7*H26+5*H33)/12</f>
        <v>1.5504863755615492</v>
      </c>
      <c r="I40" s="92">
        <f>AVERAGE(7*I26+5*I33)/12</f>
        <v>1.5274966612758349</v>
      </c>
    </row>
    <row r="41" spans="1:9" x14ac:dyDescent="0.2">
      <c r="D41" s="249" t="s">
        <v>65</v>
      </c>
      <c r="E41" s="249"/>
      <c r="F41" s="249"/>
      <c r="G41" s="249"/>
      <c r="H41" s="93">
        <f>SQRT(I38^2 + H19^2)</f>
        <v>2.7131877955246769E-2</v>
      </c>
      <c r="I41" s="94">
        <f>H41*1.645</f>
        <v>4.4631939236380938E-2</v>
      </c>
    </row>
    <row r="42" spans="1:9" x14ac:dyDescent="0.2">
      <c r="G42" s="6"/>
      <c r="H42" s="38"/>
    </row>
    <row r="44" spans="1:9" x14ac:dyDescent="0.2">
      <c r="B44" s="250" t="s">
        <v>66</v>
      </c>
      <c r="C44" s="250"/>
      <c r="D44" s="250"/>
      <c r="F44" s="250" t="s">
        <v>67</v>
      </c>
      <c r="G44" s="250"/>
      <c r="H44" s="250"/>
    </row>
    <row r="45" spans="1:9" x14ac:dyDescent="0.2">
      <c r="B45" s="95"/>
      <c r="C45" s="80" t="s">
        <v>68</v>
      </c>
      <c r="D45" s="80" t="s">
        <v>87</v>
      </c>
      <c r="E45" s="224" t="s">
        <v>86</v>
      </c>
      <c r="F45" s="95"/>
      <c r="G45" s="80" t="s">
        <v>68</v>
      </c>
      <c r="H45" s="80" t="s">
        <v>87</v>
      </c>
      <c r="I45" s="225" t="s">
        <v>86</v>
      </c>
    </row>
    <row r="46" spans="1:9" x14ac:dyDescent="0.2">
      <c r="B46" s="105" t="s">
        <v>71</v>
      </c>
      <c r="C46" s="93">
        <f>E18-(G21)</f>
        <v>1.5418154193196747</v>
      </c>
      <c r="D46" s="104">
        <f>ROUND(C46,2)</f>
        <v>1.54</v>
      </c>
      <c r="E46" s="219">
        <v>1.54</v>
      </c>
      <c r="F46" s="105" t="s">
        <v>71</v>
      </c>
      <c r="G46" s="93">
        <f>I40-(I41)</f>
        <v>1.482864722039454</v>
      </c>
      <c r="H46" s="104">
        <f>ROUND(G46,2)</f>
        <v>1.48</v>
      </c>
      <c r="I46" s="110">
        <v>1.48</v>
      </c>
    </row>
    <row r="47" spans="1:9" x14ac:dyDescent="0.2">
      <c r="B47" s="105" t="s">
        <v>69</v>
      </c>
      <c r="C47" s="93">
        <f>E18</f>
        <v>1.6191464609523851</v>
      </c>
      <c r="D47" s="104">
        <f>ROUND(C47,2)</f>
        <v>1.62</v>
      </c>
      <c r="E47" s="220">
        <v>1.62</v>
      </c>
      <c r="F47" s="105" t="s">
        <v>69</v>
      </c>
      <c r="G47" s="93">
        <f>I40</f>
        <v>1.5274966612758349</v>
      </c>
      <c r="H47" s="104">
        <f>ROUND(G47,2)</f>
        <v>1.53</v>
      </c>
      <c r="I47" s="108">
        <v>1.53</v>
      </c>
    </row>
    <row r="48" spans="1:9" x14ac:dyDescent="0.2">
      <c r="B48" s="105" t="s">
        <v>70</v>
      </c>
      <c r="C48" s="93">
        <f>E18+(G21)</f>
        <v>1.6964775025850956</v>
      </c>
      <c r="D48" s="107">
        <f>ROUND(C48,2)</f>
        <v>1.7</v>
      </c>
      <c r="E48" s="221">
        <v>1.7</v>
      </c>
      <c r="F48" s="105" t="s">
        <v>70</v>
      </c>
      <c r="G48" s="93">
        <f>I40+(I41)</f>
        <v>1.5721286005122159</v>
      </c>
      <c r="H48" s="104">
        <f>ROUND(G48,2)</f>
        <v>1.57</v>
      </c>
      <c r="I48" s="109">
        <v>1.58</v>
      </c>
    </row>
    <row r="49" spans="3:9" x14ac:dyDescent="0.2">
      <c r="C49" s="104"/>
      <c r="D49" s="104"/>
      <c r="E49" s="111" t="s">
        <v>75</v>
      </c>
      <c r="I49" s="111" t="s">
        <v>76</v>
      </c>
    </row>
  </sheetData>
  <mergeCells count="21">
    <mergeCell ref="C40:E40"/>
    <mergeCell ref="D41:G41"/>
    <mergeCell ref="B44:D44"/>
    <mergeCell ref="F44:H44"/>
    <mergeCell ref="B33:E37"/>
    <mergeCell ref="F33:F37"/>
    <mergeCell ref="G33:G37"/>
    <mergeCell ref="H33:H37"/>
    <mergeCell ref="I33:I37"/>
    <mergeCell ref="A24:F24"/>
    <mergeCell ref="F26:F32"/>
    <mergeCell ref="G26:G32"/>
    <mergeCell ref="H26:H32"/>
    <mergeCell ref="I26:I32"/>
    <mergeCell ref="A2:F2"/>
    <mergeCell ref="A4:A12"/>
    <mergeCell ref="E4:E10"/>
    <mergeCell ref="F4:F10"/>
    <mergeCell ref="E11:E15"/>
    <mergeCell ref="F11:F15"/>
    <mergeCell ref="A13:A15"/>
  </mergeCell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ignoredErrors>
    <ignoredError sqref="E26:E32 E4 E1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zoomScaleNormal="100" workbookViewId="0">
      <selection activeCell="A21" sqref="A21"/>
    </sheetView>
  </sheetViews>
  <sheetFormatPr defaultColWidth="11.5703125" defaultRowHeight="12.75" x14ac:dyDescent="0.2"/>
  <cols>
    <col min="5" max="5" width="13.42578125" style="1" customWidth="1"/>
    <col min="6" max="6" width="14.7109375" style="1" customWidth="1"/>
    <col min="7" max="7" width="18.7109375" style="1" customWidth="1"/>
  </cols>
  <sheetData>
    <row r="1" spans="1:10" x14ac:dyDescent="0.2">
      <c r="A1" s="6" t="s">
        <v>37</v>
      </c>
      <c r="B1" s="6" t="s">
        <v>38</v>
      </c>
      <c r="C1" s="6" t="s">
        <v>39</v>
      </c>
      <c r="D1" s="6" t="s">
        <v>77</v>
      </c>
      <c r="E1" s="38" t="s">
        <v>40</v>
      </c>
      <c r="F1" s="39" t="s">
        <v>41</v>
      </c>
      <c r="G1" s="40" t="s">
        <v>42</v>
      </c>
      <c r="H1" s="6" t="s">
        <v>43</v>
      </c>
      <c r="I1" s="38" t="s">
        <v>44</v>
      </c>
    </row>
    <row r="2" spans="1:10" x14ac:dyDescent="0.2">
      <c r="A2" s="117">
        <v>45139</v>
      </c>
      <c r="B2" s="118">
        <v>16.82</v>
      </c>
      <c r="C2" s="118">
        <v>16.61</v>
      </c>
      <c r="D2" s="118">
        <f t="shared" ref="D2:D17" si="0">B2-C2</f>
        <v>0.21000000000000085</v>
      </c>
      <c r="E2" s="119">
        <f t="shared" ref="E2:E14" si="1">AVERAGE(D2:D5)</f>
        <v>0.20250000000000012</v>
      </c>
      <c r="F2" s="119">
        <f>AVERAGE($D$2:$D$13)</f>
        <v>0.18083333333332505</v>
      </c>
      <c r="G2" s="120">
        <f t="shared" ref="G2:G14" si="2">(E2-F2)^2</f>
        <v>4.6944444444480893E-4</v>
      </c>
      <c r="H2" s="119">
        <f>SQRT(SUM($G$2:$G$13)/12)</f>
        <v>3.9456668684830484E-2</v>
      </c>
      <c r="I2" s="121">
        <f t="shared" ref="I2:I14" si="3">1.645*H2</f>
        <v>6.4906219986546151E-2</v>
      </c>
      <c r="J2" s="45"/>
    </row>
    <row r="3" spans="1:10" x14ac:dyDescent="0.2">
      <c r="A3" s="14">
        <v>45170</v>
      </c>
      <c r="B3" s="46">
        <v>16.38</v>
      </c>
      <c r="C3" s="47">
        <v>16.11</v>
      </c>
      <c r="D3" s="48">
        <f t="shared" si="0"/>
        <v>0.26999999999999957</v>
      </c>
      <c r="E3" s="116">
        <f t="shared" si="1"/>
        <v>0.23749999999999982</v>
      </c>
      <c r="F3" s="49">
        <f t="shared" ref="F3:F14" si="4">AVERAGE($D$3:$D$14)</f>
        <v>0.17999999999999158</v>
      </c>
      <c r="G3" s="114">
        <f t="shared" si="2"/>
        <v>3.3062500000009473E-3</v>
      </c>
      <c r="H3" s="49">
        <f t="shared" ref="H3:H14" si="5">SQRT(SUM($G$3:$G$14)/12)</f>
        <v>3.9383266328066824E-2</v>
      </c>
      <c r="I3" s="49">
        <f t="shared" si="3"/>
        <v>6.4785473109669922E-2</v>
      </c>
      <c r="J3" s="50"/>
    </row>
    <row r="4" spans="1:10" x14ac:dyDescent="0.2">
      <c r="A4" s="17">
        <v>45200</v>
      </c>
      <c r="B4" s="51">
        <v>15.3</v>
      </c>
      <c r="C4" s="52">
        <v>15.23</v>
      </c>
      <c r="D4" s="53">
        <f t="shared" si="0"/>
        <v>7.0000000000000284E-2</v>
      </c>
      <c r="E4" s="54">
        <f t="shared" si="1"/>
        <v>0.21750000000000025</v>
      </c>
      <c r="F4" s="44">
        <f t="shared" si="4"/>
        <v>0.17999999999999158</v>
      </c>
      <c r="G4" s="113">
        <f t="shared" si="2"/>
        <v>1.4062500000006498E-3</v>
      </c>
      <c r="H4" s="54">
        <f t="shared" si="5"/>
        <v>3.9383266328066824E-2</v>
      </c>
      <c r="I4" s="54">
        <f t="shared" si="3"/>
        <v>6.4785473109669922E-2</v>
      </c>
      <c r="J4" s="45"/>
    </row>
    <row r="5" spans="1:10" x14ac:dyDescent="0.2">
      <c r="A5" s="17">
        <v>45231</v>
      </c>
      <c r="B5" s="51">
        <v>14.22</v>
      </c>
      <c r="C5" s="52">
        <v>13.96</v>
      </c>
      <c r="D5" s="53">
        <f t="shared" si="0"/>
        <v>0.25999999999999979</v>
      </c>
      <c r="E5" s="54">
        <f t="shared" si="1"/>
        <v>0.22999999999999998</v>
      </c>
      <c r="F5" s="44">
        <f t="shared" si="4"/>
        <v>0.17999999999999158</v>
      </c>
      <c r="G5" s="113">
        <f t="shared" si="2"/>
        <v>2.5000000000008401E-3</v>
      </c>
      <c r="H5" s="54">
        <f t="shared" si="5"/>
        <v>3.9383266328066824E-2</v>
      </c>
      <c r="I5" s="54">
        <f t="shared" si="3"/>
        <v>6.4785473109669922E-2</v>
      </c>
      <c r="J5" s="50"/>
    </row>
    <row r="6" spans="1:10" x14ac:dyDescent="0.2">
      <c r="A6" s="17">
        <v>45261</v>
      </c>
      <c r="B6" s="51">
        <v>13.51</v>
      </c>
      <c r="C6" s="52">
        <v>13.16</v>
      </c>
      <c r="D6" s="53">
        <f t="shared" si="0"/>
        <v>0.34999999999999964</v>
      </c>
      <c r="E6" s="54">
        <f t="shared" si="1"/>
        <v>0.20500000000000007</v>
      </c>
      <c r="F6" s="44">
        <f t="shared" si="4"/>
        <v>0.17999999999999158</v>
      </c>
      <c r="G6" s="113">
        <f t="shared" si="2"/>
        <v>6.2500000000042437E-4</v>
      </c>
      <c r="H6" s="54">
        <f t="shared" si="5"/>
        <v>3.9383266328066824E-2</v>
      </c>
      <c r="I6" s="54">
        <f t="shared" si="3"/>
        <v>6.4785473109669922E-2</v>
      </c>
    </row>
    <row r="7" spans="1:10" x14ac:dyDescent="0.2">
      <c r="A7" s="17">
        <v>45292</v>
      </c>
      <c r="B7" s="51">
        <v>13.14</v>
      </c>
      <c r="C7" s="52">
        <v>12.95</v>
      </c>
      <c r="D7" s="53">
        <f t="shared" si="0"/>
        <v>0.19000000000000128</v>
      </c>
      <c r="E7" s="54">
        <f t="shared" si="1"/>
        <v>0.14999999999999991</v>
      </c>
      <c r="F7" s="44">
        <f t="shared" si="4"/>
        <v>0.17999999999999158</v>
      </c>
      <c r="G7" s="113">
        <f t="shared" si="2"/>
        <v>8.9999999999950038E-4</v>
      </c>
      <c r="H7" s="54">
        <f t="shared" si="5"/>
        <v>3.9383266328066824E-2</v>
      </c>
      <c r="I7" s="54">
        <f t="shared" si="3"/>
        <v>6.4785473109669922E-2</v>
      </c>
    </row>
    <row r="8" spans="1:10" x14ac:dyDescent="0.2">
      <c r="A8" s="17">
        <v>45323</v>
      </c>
      <c r="B8" s="51">
        <v>13.54</v>
      </c>
      <c r="C8" s="52">
        <v>13.42</v>
      </c>
      <c r="D8" s="53">
        <f t="shared" si="0"/>
        <v>0.11999999999999922</v>
      </c>
      <c r="E8" s="54">
        <f t="shared" si="1"/>
        <v>0.12499999999997469</v>
      </c>
      <c r="F8" s="44">
        <f t="shared" si="4"/>
        <v>0.17999999999999158</v>
      </c>
      <c r="G8" s="113">
        <f t="shared" si="2"/>
        <v>3.0250000000018587E-3</v>
      </c>
      <c r="H8" s="54">
        <f t="shared" si="5"/>
        <v>3.9383266328066824E-2</v>
      </c>
      <c r="I8" s="54">
        <f t="shared" si="3"/>
        <v>6.4785473109669922E-2</v>
      </c>
    </row>
    <row r="9" spans="1:10" x14ac:dyDescent="0.2">
      <c r="A9" s="17">
        <v>45352</v>
      </c>
      <c r="B9" s="42">
        <v>14.14</v>
      </c>
      <c r="C9" s="43">
        <v>13.98</v>
      </c>
      <c r="D9" s="53">
        <f t="shared" si="0"/>
        <v>0.16000000000000014</v>
      </c>
      <c r="E9" s="54">
        <f t="shared" si="1"/>
        <v>0.12249999999997474</v>
      </c>
      <c r="F9" s="44">
        <f t="shared" si="4"/>
        <v>0.17999999999999158</v>
      </c>
      <c r="G9" s="113">
        <f t="shared" si="2"/>
        <v>3.306250000001937E-3</v>
      </c>
      <c r="H9" s="54">
        <f t="shared" si="5"/>
        <v>3.9383266328066824E-2</v>
      </c>
      <c r="I9" s="54">
        <f t="shared" si="3"/>
        <v>6.4785473109669922E-2</v>
      </c>
    </row>
    <row r="10" spans="1:10" x14ac:dyDescent="0.2">
      <c r="A10" s="17">
        <v>45383</v>
      </c>
      <c r="B10" s="42">
        <v>15.03</v>
      </c>
      <c r="C10" s="43">
        <v>14.9</v>
      </c>
      <c r="D10" s="53">
        <f t="shared" si="0"/>
        <v>0.12999999999999901</v>
      </c>
      <c r="E10" s="54">
        <f t="shared" si="1"/>
        <v>0.13499999999997492</v>
      </c>
      <c r="F10" s="44">
        <f t="shared" si="4"/>
        <v>0.17999999999999158</v>
      </c>
      <c r="G10" s="113">
        <f t="shared" si="2"/>
        <v>2.0250000000015E-3</v>
      </c>
      <c r="H10" s="54">
        <f t="shared" si="5"/>
        <v>3.9383266328066824E-2</v>
      </c>
      <c r="I10" s="54">
        <f t="shared" si="3"/>
        <v>6.4785473109669922E-2</v>
      </c>
    </row>
    <row r="11" spans="1:10" x14ac:dyDescent="0.2">
      <c r="A11" s="17">
        <v>45413</v>
      </c>
      <c r="B11" s="42">
        <v>15.91</v>
      </c>
      <c r="C11" s="43">
        <v>15.8200000000001</v>
      </c>
      <c r="D11" s="53">
        <f t="shared" si="0"/>
        <v>8.9999999999900382E-2</v>
      </c>
      <c r="E11" s="54">
        <f t="shared" si="1"/>
        <v>0.15249999999997499</v>
      </c>
      <c r="F11" s="44">
        <f t="shared" si="4"/>
        <v>0.17999999999999158</v>
      </c>
      <c r="G11" s="113">
        <f t="shared" si="2"/>
        <v>7.5625000000091266E-4</v>
      </c>
      <c r="H11" s="54">
        <f t="shared" si="5"/>
        <v>3.9383266328066824E-2</v>
      </c>
      <c r="I11" s="54">
        <f t="shared" si="3"/>
        <v>6.4785473109669922E-2</v>
      </c>
      <c r="J11" s="55" t="s">
        <v>45</v>
      </c>
    </row>
    <row r="12" spans="1:10" x14ac:dyDescent="0.2">
      <c r="A12" s="17">
        <v>45444</v>
      </c>
      <c r="B12" s="42">
        <v>16.66</v>
      </c>
      <c r="C12" s="43">
        <v>16.55</v>
      </c>
      <c r="D12" s="53">
        <f t="shared" si="0"/>
        <v>0.10999999999999943</v>
      </c>
      <c r="E12" s="54">
        <f t="shared" si="1"/>
        <v>0.19749999999999979</v>
      </c>
      <c r="F12" s="44">
        <f t="shared" si="4"/>
        <v>0.17999999999999158</v>
      </c>
      <c r="G12" s="113">
        <f t="shared" si="2"/>
        <v>3.0625000000028714E-4</v>
      </c>
      <c r="H12" s="54">
        <f t="shared" si="5"/>
        <v>3.9383266328066824E-2</v>
      </c>
      <c r="I12" s="54">
        <f t="shared" si="3"/>
        <v>6.4785473109669922E-2</v>
      </c>
      <c r="J12" s="50">
        <f>F14-I14</f>
        <v>0.11521452689032166</v>
      </c>
    </row>
    <row r="13" spans="1:10" x14ac:dyDescent="0.2">
      <c r="A13" s="17">
        <v>45474</v>
      </c>
      <c r="B13" s="42">
        <v>16.91</v>
      </c>
      <c r="C13" s="43">
        <v>16.7</v>
      </c>
      <c r="D13" s="53">
        <f t="shared" si="0"/>
        <v>0.21000000000000085</v>
      </c>
      <c r="E13" s="54">
        <f t="shared" si="1"/>
        <v>0.1875</v>
      </c>
      <c r="F13" s="44">
        <f t="shared" si="4"/>
        <v>0.17999999999999158</v>
      </c>
      <c r="G13" s="113">
        <f t="shared" si="2"/>
        <v>5.6250000000126247E-5</v>
      </c>
      <c r="H13" s="54">
        <f t="shared" si="5"/>
        <v>3.9383266328066824E-2</v>
      </c>
      <c r="I13" s="54">
        <f t="shared" si="3"/>
        <v>6.4785473109669922E-2</v>
      </c>
      <c r="J13" s="55" t="s">
        <v>46</v>
      </c>
    </row>
    <row r="14" spans="1:10" x14ac:dyDescent="0.2">
      <c r="A14" s="56">
        <v>45505</v>
      </c>
      <c r="B14" s="57">
        <v>16.82</v>
      </c>
      <c r="C14" s="57">
        <v>16.62</v>
      </c>
      <c r="D14" s="58">
        <f t="shared" si="0"/>
        <v>0.19999999999999929</v>
      </c>
      <c r="E14" s="59">
        <f t="shared" si="1"/>
        <v>0.19999999999999973</v>
      </c>
      <c r="F14" s="60">
        <f t="shared" si="4"/>
        <v>0.17999999999999158</v>
      </c>
      <c r="G14" s="115">
        <f t="shared" si="2"/>
        <v>4.0000000000032598E-4</v>
      </c>
      <c r="H14" s="61">
        <f t="shared" si="5"/>
        <v>3.9383266328066824E-2</v>
      </c>
      <c r="I14" s="60">
        <f t="shared" si="3"/>
        <v>6.4785473109669922E-2</v>
      </c>
      <c r="J14" s="50">
        <f>F14+I14</f>
        <v>0.24478547310966151</v>
      </c>
    </row>
    <row r="15" spans="1:10" x14ac:dyDescent="0.2">
      <c r="A15" s="62">
        <v>45170</v>
      </c>
      <c r="B15" s="63">
        <v>16.38</v>
      </c>
      <c r="C15" s="63">
        <v>16.11</v>
      </c>
      <c r="D15" s="64">
        <f t="shared" si="0"/>
        <v>0.26999999999999957</v>
      </c>
    </row>
    <row r="16" spans="1:10" x14ac:dyDescent="0.2">
      <c r="A16" s="62">
        <v>45200</v>
      </c>
      <c r="B16" s="63">
        <v>15.3</v>
      </c>
      <c r="C16" s="63">
        <v>15.23</v>
      </c>
      <c r="D16" s="64">
        <f t="shared" si="0"/>
        <v>7.0000000000000284E-2</v>
      </c>
    </row>
    <row r="17" spans="1:10" x14ac:dyDescent="0.2">
      <c r="A17" s="62">
        <v>45231</v>
      </c>
      <c r="B17" s="63">
        <v>14.22</v>
      </c>
      <c r="C17" s="63">
        <v>13.96</v>
      </c>
      <c r="D17" s="64">
        <f t="shared" si="0"/>
        <v>0.25999999999999979</v>
      </c>
    </row>
    <row r="19" spans="1:10" x14ac:dyDescent="0.2">
      <c r="A19" s="252" t="s">
        <v>47</v>
      </c>
      <c r="B19" s="252"/>
      <c r="C19" s="252"/>
      <c r="D19" s="252"/>
      <c r="E19" s="252"/>
      <c r="F19" s="252"/>
      <c r="G19" s="252"/>
      <c r="H19" s="252"/>
      <c r="I19" s="252"/>
      <c r="J19" s="252"/>
    </row>
    <row r="20" spans="1:10" x14ac:dyDescent="0.2">
      <c r="A20" s="253" t="s">
        <v>48</v>
      </c>
      <c r="B20" s="253"/>
      <c r="C20" s="253"/>
      <c r="D20" s="253"/>
      <c r="E20" s="253"/>
      <c r="F20" s="253"/>
      <c r="G20" s="253"/>
      <c r="H20" s="253"/>
      <c r="I20" s="253"/>
      <c r="J20" s="253"/>
    </row>
  </sheetData>
  <mergeCells count="2">
    <mergeCell ref="A19:J19"/>
    <mergeCell ref="A20:J20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zoomScaleNormal="100" workbookViewId="0">
      <selection activeCell="A21" sqref="A21"/>
    </sheetView>
  </sheetViews>
  <sheetFormatPr defaultColWidth="11.5703125" defaultRowHeight="12.75" x14ac:dyDescent="0.2"/>
  <cols>
    <col min="5" max="5" width="13.42578125" style="1" customWidth="1"/>
    <col min="6" max="6" width="14.7109375" style="1" customWidth="1"/>
    <col min="7" max="7" width="18.7109375" style="1" customWidth="1"/>
  </cols>
  <sheetData>
    <row r="1" spans="1:10" x14ac:dyDescent="0.2">
      <c r="A1" s="6" t="s">
        <v>37</v>
      </c>
      <c r="B1" s="6" t="s">
        <v>38</v>
      </c>
      <c r="C1" s="6" t="s">
        <v>39</v>
      </c>
      <c r="D1" s="6" t="s">
        <v>77</v>
      </c>
      <c r="E1" s="38" t="s">
        <v>40</v>
      </c>
      <c r="F1" s="39" t="s">
        <v>41</v>
      </c>
      <c r="G1" s="40" t="s">
        <v>42</v>
      </c>
      <c r="H1" s="6" t="s">
        <v>43</v>
      </c>
      <c r="I1" s="38" t="s">
        <v>44</v>
      </c>
    </row>
    <row r="2" spans="1:10" x14ac:dyDescent="0.2">
      <c r="A2" s="41"/>
      <c r="B2" s="42"/>
      <c r="C2" s="43"/>
      <c r="D2" s="42"/>
      <c r="E2" s="44"/>
      <c r="G2" s="113"/>
      <c r="J2" s="45"/>
    </row>
    <row r="3" spans="1:10" x14ac:dyDescent="0.2">
      <c r="A3" s="14">
        <v>45170</v>
      </c>
      <c r="B3" s="46">
        <v>16.38</v>
      </c>
      <c r="C3" s="47">
        <v>15.95</v>
      </c>
      <c r="D3" s="48">
        <f t="shared" ref="D3:D17" si="0">B3-C3</f>
        <v>0.42999999999999972</v>
      </c>
      <c r="E3" s="116">
        <f t="shared" ref="E3:E14" si="1">AVERAGE(D3:D6)</f>
        <v>0.28500000000000059</v>
      </c>
      <c r="F3" s="49">
        <f t="shared" ref="F3:F14" si="2">AVERAGE($D$3:$D$14)</f>
        <v>0.21666666666666665</v>
      </c>
      <c r="G3" s="114">
        <f t="shared" ref="G3:G14" si="3">(E3-F3)^2</f>
        <v>4.6694444444445272E-3</v>
      </c>
      <c r="H3" s="49">
        <f t="shared" ref="H3:H14" si="4">SQRT(SUM($G$3:$G$14)/12)</f>
        <v>6.7069097868458646E-2</v>
      </c>
      <c r="I3" s="49">
        <f t="shared" ref="I3:I14" si="5">1.645*H3</f>
        <v>0.11032866599361447</v>
      </c>
      <c r="J3" s="50"/>
    </row>
    <row r="4" spans="1:10" x14ac:dyDescent="0.2">
      <c r="A4" s="17">
        <v>45200</v>
      </c>
      <c r="B4" s="51">
        <v>15.3</v>
      </c>
      <c r="C4" s="52">
        <v>15.02</v>
      </c>
      <c r="D4" s="53">
        <f t="shared" si="0"/>
        <v>0.28000000000000114</v>
      </c>
      <c r="E4" s="54">
        <f t="shared" si="1"/>
        <v>0.2125000000000008</v>
      </c>
      <c r="F4" s="44">
        <f t="shared" si="2"/>
        <v>0.21666666666666665</v>
      </c>
      <c r="G4" s="113">
        <f t="shared" si="3"/>
        <v>1.7361111111104281E-5</v>
      </c>
      <c r="H4" s="54">
        <f t="shared" si="4"/>
        <v>6.7069097868458646E-2</v>
      </c>
      <c r="I4" s="54">
        <f t="shared" si="5"/>
        <v>0.11032866599361447</v>
      </c>
      <c r="J4" s="45"/>
    </row>
    <row r="5" spans="1:10" x14ac:dyDescent="0.2">
      <c r="A5" s="17">
        <v>45231</v>
      </c>
      <c r="B5" s="51">
        <v>14.22</v>
      </c>
      <c r="C5" s="52">
        <v>14.02</v>
      </c>
      <c r="D5" s="53">
        <f t="shared" si="0"/>
        <v>0.20000000000000107</v>
      </c>
      <c r="E5" s="54">
        <f t="shared" si="1"/>
        <v>0.20000000000000018</v>
      </c>
      <c r="F5" s="44">
        <f t="shared" si="2"/>
        <v>0.21666666666666665</v>
      </c>
      <c r="G5" s="113">
        <f t="shared" si="3"/>
        <v>2.7777777777777116E-4</v>
      </c>
      <c r="H5" s="54">
        <f t="shared" si="4"/>
        <v>6.7069097868458646E-2</v>
      </c>
      <c r="I5" s="54">
        <f t="shared" si="5"/>
        <v>0.11032866599361447</v>
      </c>
      <c r="J5" s="50"/>
    </row>
    <row r="6" spans="1:10" x14ac:dyDescent="0.2">
      <c r="A6" s="17">
        <v>45261</v>
      </c>
      <c r="B6" s="51">
        <v>13.51</v>
      </c>
      <c r="C6" s="52">
        <v>13.28</v>
      </c>
      <c r="D6" s="53">
        <f t="shared" si="0"/>
        <v>0.23000000000000043</v>
      </c>
      <c r="E6" s="54">
        <f t="shared" si="1"/>
        <v>0.18000000000000016</v>
      </c>
      <c r="F6" s="44">
        <f t="shared" si="2"/>
        <v>0.21666666666666665</v>
      </c>
      <c r="G6" s="113">
        <f t="shared" si="3"/>
        <v>1.3444444444444313E-3</v>
      </c>
      <c r="H6" s="54">
        <f t="shared" si="4"/>
        <v>6.7069097868458646E-2</v>
      </c>
      <c r="I6" s="54">
        <f t="shared" si="5"/>
        <v>0.11032866599361447</v>
      </c>
    </row>
    <row r="7" spans="1:10" x14ac:dyDescent="0.2">
      <c r="A7" s="17">
        <v>45292</v>
      </c>
      <c r="B7" s="51">
        <v>13.14</v>
      </c>
      <c r="C7" s="52">
        <v>13</v>
      </c>
      <c r="D7" s="53">
        <f t="shared" si="0"/>
        <v>0.14000000000000057</v>
      </c>
      <c r="E7" s="54">
        <f t="shared" si="1"/>
        <v>0.13499999999999979</v>
      </c>
      <c r="F7" s="44">
        <f t="shared" si="2"/>
        <v>0.21666666666666665</v>
      </c>
      <c r="G7" s="113">
        <f t="shared" si="3"/>
        <v>6.6694444444444761E-3</v>
      </c>
      <c r="H7" s="54">
        <f t="shared" si="4"/>
        <v>6.7069097868458646E-2</v>
      </c>
      <c r="I7" s="54">
        <f t="shared" si="5"/>
        <v>0.11032866599361447</v>
      </c>
    </row>
    <row r="8" spans="1:10" x14ac:dyDescent="0.2">
      <c r="A8" s="17">
        <v>45323</v>
      </c>
      <c r="B8" s="51">
        <v>13.54</v>
      </c>
      <c r="C8" s="52">
        <v>13.31</v>
      </c>
      <c r="D8" s="53">
        <f t="shared" si="0"/>
        <v>0.22999999999999865</v>
      </c>
      <c r="E8" s="54">
        <f t="shared" si="1"/>
        <v>0.12999999999999989</v>
      </c>
      <c r="F8" s="44">
        <f t="shared" si="2"/>
        <v>0.21666666666666665</v>
      </c>
      <c r="G8" s="113">
        <f t="shared" si="3"/>
        <v>7.5111111111111264E-3</v>
      </c>
      <c r="H8" s="54">
        <f t="shared" si="4"/>
        <v>6.7069097868458646E-2</v>
      </c>
      <c r="I8" s="54">
        <f t="shared" si="5"/>
        <v>0.11032866599361447</v>
      </c>
    </row>
    <row r="9" spans="1:10" x14ac:dyDescent="0.2">
      <c r="A9" s="17">
        <v>45352</v>
      </c>
      <c r="B9" s="42">
        <v>14.14</v>
      </c>
      <c r="C9" s="43">
        <v>14.02</v>
      </c>
      <c r="D9" s="53">
        <f t="shared" si="0"/>
        <v>0.12000000000000099</v>
      </c>
      <c r="E9" s="54">
        <f t="shared" si="1"/>
        <v>0.14000000000000012</v>
      </c>
      <c r="F9" s="44">
        <f t="shared" si="2"/>
        <v>0.21666666666666665</v>
      </c>
      <c r="G9" s="113">
        <f t="shared" si="3"/>
        <v>5.8777777777777552E-3</v>
      </c>
      <c r="H9" s="54">
        <f t="shared" si="4"/>
        <v>6.7069097868458646E-2</v>
      </c>
      <c r="I9" s="54">
        <f t="shared" si="5"/>
        <v>0.11032866599361447</v>
      </c>
    </row>
    <row r="10" spans="1:10" x14ac:dyDescent="0.2">
      <c r="A10" s="17">
        <v>45383</v>
      </c>
      <c r="B10" s="42">
        <v>15.03</v>
      </c>
      <c r="C10" s="43">
        <v>14.98</v>
      </c>
      <c r="D10" s="53">
        <f t="shared" si="0"/>
        <v>4.9999999999998934E-2</v>
      </c>
      <c r="E10" s="54">
        <f t="shared" si="1"/>
        <v>0.16499999999999959</v>
      </c>
      <c r="F10" s="44">
        <f t="shared" si="2"/>
        <v>0.21666666666666665</v>
      </c>
      <c r="G10" s="113">
        <f t="shared" si="3"/>
        <v>2.6694444444444847E-3</v>
      </c>
      <c r="H10" s="54">
        <f t="shared" si="4"/>
        <v>6.7069097868458646E-2</v>
      </c>
      <c r="I10" s="54">
        <f t="shared" si="5"/>
        <v>0.11032866599361447</v>
      </c>
    </row>
    <row r="11" spans="1:10" x14ac:dyDescent="0.2">
      <c r="A11" s="17">
        <v>45413</v>
      </c>
      <c r="B11" s="42">
        <v>15.91</v>
      </c>
      <c r="C11" s="43">
        <v>15.79</v>
      </c>
      <c r="D11" s="53">
        <f t="shared" si="0"/>
        <v>0.12000000000000099</v>
      </c>
      <c r="E11" s="54">
        <f t="shared" si="1"/>
        <v>0.22999999999999954</v>
      </c>
      <c r="F11" s="44">
        <f t="shared" si="2"/>
        <v>0.21666666666666665</v>
      </c>
      <c r="G11" s="113">
        <f t="shared" si="3"/>
        <v>1.77777777777766E-4</v>
      </c>
      <c r="H11" s="54">
        <f t="shared" si="4"/>
        <v>6.7069097868458646E-2</v>
      </c>
      <c r="I11" s="54">
        <f t="shared" si="5"/>
        <v>0.11032866599361447</v>
      </c>
      <c r="J11" s="55" t="s">
        <v>45</v>
      </c>
    </row>
    <row r="12" spans="1:10" x14ac:dyDescent="0.2">
      <c r="A12" s="17">
        <v>45444</v>
      </c>
      <c r="B12" s="42">
        <v>16.66</v>
      </c>
      <c r="C12" s="43">
        <v>16.39</v>
      </c>
      <c r="D12" s="53">
        <f t="shared" si="0"/>
        <v>0.26999999999999957</v>
      </c>
      <c r="E12" s="54">
        <f t="shared" si="1"/>
        <v>0.30749999999999922</v>
      </c>
      <c r="F12" s="44">
        <f t="shared" si="2"/>
        <v>0.21666666666666665</v>
      </c>
      <c r="G12" s="113">
        <f t="shared" si="3"/>
        <v>8.2506944444443054E-3</v>
      </c>
      <c r="H12" s="54">
        <f t="shared" si="4"/>
        <v>6.7069097868458646E-2</v>
      </c>
      <c r="I12" s="54">
        <f t="shared" si="5"/>
        <v>0.11032866599361447</v>
      </c>
      <c r="J12" s="50">
        <f>F14-I14</f>
        <v>0.10633800067305217</v>
      </c>
    </row>
    <row r="13" spans="1:10" x14ac:dyDescent="0.2">
      <c r="A13" s="17">
        <v>45474</v>
      </c>
      <c r="B13" s="42">
        <v>16.91</v>
      </c>
      <c r="C13" s="43">
        <v>16.690000000000001</v>
      </c>
      <c r="D13" s="53">
        <f t="shared" si="0"/>
        <v>0.21999999999999886</v>
      </c>
      <c r="E13" s="54">
        <f t="shared" si="1"/>
        <v>0.30999999999999961</v>
      </c>
      <c r="F13" s="44">
        <f t="shared" si="2"/>
        <v>0.21666666666666665</v>
      </c>
      <c r="G13" s="113">
        <f t="shared" si="3"/>
        <v>8.7111111111110428E-3</v>
      </c>
      <c r="H13" s="54">
        <f t="shared" si="4"/>
        <v>6.7069097868458646E-2</v>
      </c>
      <c r="I13" s="54">
        <f t="shared" si="5"/>
        <v>0.11032866599361447</v>
      </c>
      <c r="J13" s="55" t="s">
        <v>46</v>
      </c>
    </row>
    <row r="14" spans="1:10" x14ac:dyDescent="0.2">
      <c r="A14" s="56">
        <v>45505</v>
      </c>
      <c r="B14" s="57">
        <v>16.82</v>
      </c>
      <c r="C14" s="57">
        <v>16.510000000000002</v>
      </c>
      <c r="D14" s="58">
        <f t="shared" si="0"/>
        <v>0.30999999999999872</v>
      </c>
      <c r="E14" s="59">
        <f t="shared" si="1"/>
        <v>0.30500000000000016</v>
      </c>
      <c r="F14" s="60">
        <f t="shared" si="2"/>
        <v>0.21666666666666665</v>
      </c>
      <c r="G14" s="115">
        <f t="shared" si="3"/>
        <v>7.8027777777778095E-3</v>
      </c>
      <c r="H14" s="61">
        <f t="shared" si="4"/>
        <v>6.7069097868458646E-2</v>
      </c>
      <c r="I14" s="60">
        <f t="shared" si="5"/>
        <v>0.11032866599361447</v>
      </c>
      <c r="J14" s="50">
        <f>F14+I14</f>
        <v>0.32699533266028113</v>
      </c>
    </row>
    <row r="15" spans="1:10" x14ac:dyDescent="0.2">
      <c r="A15" s="62">
        <v>45170</v>
      </c>
      <c r="B15" s="63">
        <v>16.38</v>
      </c>
      <c r="C15" s="63">
        <v>15.95</v>
      </c>
      <c r="D15" s="64">
        <f t="shared" si="0"/>
        <v>0.42999999999999972</v>
      </c>
    </row>
    <row r="16" spans="1:10" x14ac:dyDescent="0.2">
      <c r="A16" s="62">
        <v>45200</v>
      </c>
      <c r="B16" s="63">
        <v>15.3</v>
      </c>
      <c r="C16" s="63">
        <v>15.02</v>
      </c>
      <c r="D16" s="64">
        <f t="shared" si="0"/>
        <v>0.28000000000000114</v>
      </c>
    </row>
    <row r="17" spans="1:10" x14ac:dyDescent="0.2">
      <c r="A17" s="62">
        <v>45231</v>
      </c>
      <c r="B17" s="63">
        <v>14.22</v>
      </c>
      <c r="C17" s="63">
        <v>14.02</v>
      </c>
      <c r="D17" s="64">
        <f t="shared" si="0"/>
        <v>0.20000000000000107</v>
      </c>
    </row>
    <row r="19" spans="1:10" x14ac:dyDescent="0.2">
      <c r="A19" s="252" t="s">
        <v>47</v>
      </c>
      <c r="B19" s="252"/>
      <c r="C19" s="252"/>
      <c r="D19" s="252"/>
      <c r="E19" s="252"/>
      <c r="F19" s="252"/>
      <c r="G19" s="252"/>
      <c r="H19" s="252"/>
      <c r="I19" s="252"/>
      <c r="J19" s="252"/>
    </row>
    <row r="20" spans="1:10" x14ac:dyDescent="0.2">
      <c r="A20" s="253" t="s">
        <v>48</v>
      </c>
      <c r="B20" s="253"/>
      <c r="C20" s="253"/>
      <c r="D20" s="253"/>
      <c r="E20" s="253"/>
      <c r="F20" s="253"/>
      <c r="G20" s="253"/>
      <c r="H20" s="253"/>
      <c r="I20" s="253"/>
      <c r="J20" s="253"/>
    </row>
  </sheetData>
  <mergeCells count="2">
    <mergeCell ref="A19:J19"/>
    <mergeCell ref="A20:J20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ERA5 GSAT base prediction</vt:lpstr>
      <vt:lpstr>2024 prediction GSAT GMST</vt:lpstr>
      <vt:lpstr>seas2era_spread_ltm1</vt:lpstr>
      <vt:lpstr>seas2era_spread_ltm4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Kirchengast, Gottfried (gottfried.kirchengast@uni-graz.at)</dc:creator>
  <dc:description/>
  <cp:lastModifiedBy>kircheng</cp:lastModifiedBy>
  <cp:revision>33</cp:revision>
  <dcterms:created xsi:type="dcterms:W3CDTF">2024-09-10T17:47:43Z</dcterms:created>
  <dcterms:modified xsi:type="dcterms:W3CDTF">2025-05-05T11:50:16Z</dcterms:modified>
  <dc:language>en-US</dc:language>
</cp:coreProperties>
</file>