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raig10\Desktop\EPP Research\Flexible CCS Excel Model\"/>
    </mc:Choice>
  </mc:AlternateContent>
  <bookViews>
    <workbookView xWindow="0" yWindow="0" windowWidth="12270" windowHeight="7680" tabRatio="682" firstSheet="4" activeTab="8"/>
  </bookViews>
  <sheets>
    <sheet name="Legend" sheetId="7" r:id="rId1"/>
    <sheet name="FLEXCCSPARAMETERS" sheetId="26" r:id="rId2"/>
    <sheet name="ParameterEstimation650MWPlant" sheetId="4" r:id="rId3"/>
    <sheet name="NumericExample650MWVent" sheetId="18" r:id="rId4"/>
    <sheet name="NumericExample650MW" sheetId="8" r:id="rId5"/>
    <sheet name="NumericExample650MWAbsorber" sheetId="23" r:id="rId6"/>
    <sheet name="ExAsModeledInPLEXOS" sheetId="17" r:id="rId7"/>
    <sheet name="ExAsModeledInPLEXOSVent" sheetId="24" r:id="rId8"/>
    <sheet name="ExAsModeledInPLEXOSVent@VentGen" sheetId="25" r:id="rId9"/>
    <sheet name="NumericExampleDiffTankSize" sheetId="10" r:id="rId10"/>
    <sheet name="ParameterEstimation650MWHighHR" sheetId="19" r:id="rId11"/>
    <sheet name="NumericExample650MWHighHR" sheetId="20" r:id="rId12"/>
    <sheet name="ParameterEstimation650MWMidHR" sheetId="21" r:id="rId13"/>
    <sheet name="ParamsAcrossHRs650MW" sheetId="22" r:id="rId14"/>
    <sheet name="ParameterEstimation450MWPlant" sheetId="11" r:id="rId15"/>
    <sheet name="NumericExampleV2MW450" sheetId="13" r:id="rId16"/>
    <sheet name="NumericExampleV2MW450DiffTank" sheetId="15" r:id="rId17"/>
    <sheet name="OLD DO NOT USE" sheetId="2" r:id="rId18"/>
    <sheet name="NumericExample_OLD" sheetId="5" r:id="rId1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 i="18" l="1"/>
  <c r="A28" i="25"/>
  <c r="L88" i="4"/>
  <c r="L28" i="26" l="1"/>
  <c r="L27" i="26"/>
  <c r="L26" i="26"/>
  <c r="L25" i="26"/>
  <c r="L24" i="26"/>
  <c r="L23" i="26"/>
  <c r="K28" i="26"/>
  <c r="K27" i="26"/>
  <c r="K26" i="26"/>
  <c r="K25" i="26"/>
  <c r="K24" i="26"/>
  <c r="K23" i="26"/>
  <c r="J28" i="26"/>
  <c r="J27" i="26"/>
  <c r="J26" i="26"/>
  <c r="J25" i="26"/>
  <c r="J24" i="26"/>
  <c r="J23" i="26"/>
  <c r="I28" i="26"/>
  <c r="I27" i="26"/>
  <c r="I26" i="26"/>
  <c r="I25" i="26"/>
  <c r="I24" i="26"/>
  <c r="I23" i="26"/>
  <c r="L19" i="26" l="1"/>
  <c r="L16" i="26"/>
  <c r="L13" i="26"/>
  <c r="L10" i="26"/>
  <c r="L7" i="26"/>
  <c r="L4" i="26"/>
  <c r="H28" i="26"/>
  <c r="H27" i="26"/>
  <c r="H26" i="26"/>
  <c r="H25" i="26"/>
  <c r="H24" i="26"/>
  <c r="H23" i="26"/>
  <c r="G28" i="26"/>
  <c r="G27" i="26"/>
  <c r="G26" i="26"/>
  <c r="G25" i="26"/>
  <c r="G24" i="26"/>
  <c r="G23" i="26"/>
  <c r="E25" i="26"/>
  <c r="E24" i="26"/>
  <c r="S18" i="26"/>
  <c r="S15" i="26"/>
  <c r="S12" i="26"/>
  <c r="S9" i="26"/>
  <c r="S6" i="26"/>
  <c r="S3" i="26"/>
  <c r="P19" i="26"/>
  <c r="P16" i="26"/>
  <c r="P13" i="26"/>
  <c r="P10" i="26"/>
  <c r="P7" i="26"/>
  <c r="P4" i="26"/>
  <c r="O9" i="26"/>
  <c r="V12" i="26"/>
  <c r="E26" i="26" s="1"/>
  <c r="M18" i="26"/>
  <c r="O18" i="26" s="1"/>
  <c r="W19" i="26" s="1"/>
  <c r="F28" i="26" s="1"/>
  <c r="M15" i="26"/>
  <c r="N15" i="26" s="1"/>
  <c r="M12" i="26"/>
  <c r="O12" i="26" s="1"/>
  <c r="M9" i="26"/>
  <c r="V9" i="26" s="1"/>
  <c r="M6" i="26"/>
  <c r="V6" i="26" s="1"/>
  <c r="M3" i="26"/>
  <c r="O3" i="26" s="1"/>
  <c r="W4" i="26" s="1"/>
  <c r="F23" i="26" s="1"/>
  <c r="U6" i="7"/>
  <c r="U7" i="7"/>
  <c r="U8" i="7"/>
  <c r="U9" i="7"/>
  <c r="U10" i="7"/>
  <c r="U11" i="7"/>
  <c r="L3" i="26"/>
  <c r="L6" i="26"/>
  <c r="L9" i="26"/>
  <c r="L18" i="26"/>
  <c r="L15" i="26"/>
  <c r="L12" i="26"/>
  <c r="U17" i="7"/>
  <c r="U16" i="7"/>
  <c r="U12" i="7"/>
  <c r="U13" i="7"/>
  <c r="U15" i="7"/>
  <c r="U14" i="7"/>
  <c r="K7" i="26"/>
  <c r="K12" i="26"/>
  <c r="K13" i="26"/>
  <c r="N12" i="26" l="1"/>
  <c r="Q12" i="26" s="1"/>
  <c r="R12" i="26" s="1"/>
  <c r="T13" i="26" s="1"/>
  <c r="C26" i="26" s="1"/>
  <c r="V3" i="26"/>
  <c r="E23" i="26" s="1"/>
  <c r="W10" i="26"/>
  <c r="F25" i="26" s="1"/>
  <c r="W13" i="26"/>
  <c r="F26" i="26" s="1"/>
  <c r="N18" i="26"/>
  <c r="Q18" i="26" s="1"/>
  <c r="R18" i="26" s="1"/>
  <c r="T19" i="26" s="1"/>
  <c r="C28" i="26" s="1"/>
  <c r="N3" i="26"/>
  <c r="U3" i="26" s="1"/>
  <c r="D23" i="26" s="1"/>
  <c r="Q15" i="26"/>
  <c r="U15" i="26"/>
  <c r="D27" i="26" s="1"/>
  <c r="V15" i="26"/>
  <c r="E27" i="26" s="1"/>
  <c r="V18" i="26"/>
  <c r="E28" i="26" s="1"/>
  <c r="O6" i="26"/>
  <c r="W7" i="26" s="1"/>
  <c r="F24" i="26" s="1"/>
  <c r="Q3" i="26"/>
  <c r="R3" i="26" s="1"/>
  <c r="T4" i="26" s="1"/>
  <c r="C23" i="26" s="1"/>
  <c r="N6" i="26"/>
  <c r="U18" i="26"/>
  <c r="D28" i="26" s="1"/>
  <c r="N9" i="26"/>
  <c r="O15" i="26"/>
  <c r="W16" i="26" s="1"/>
  <c r="F27" i="26" s="1"/>
  <c r="K10" i="26"/>
  <c r="K3" i="26"/>
  <c r="K4" i="26"/>
  <c r="K6" i="26"/>
  <c r="K9" i="26"/>
  <c r="K18" i="26"/>
  <c r="K19" i="26"/>
  <c r="K15" i="26"/>
  <c r="K16" i="26"/>
  <c r="Q38" i="25"/>
  <c r="O38" i="25"/>
  <c r="R35" i="25"/>
  <c r="Q35" i="25"/>
  <c r="O35" i="25"/>
  <c r="Q37" i="25"/>
  <c r="P37" i="25"/>
  <c r="O37" i="25"/>
  <c r="R36" i="25"/>
  <c r="Q36" i="25"/>
  <c r="O36" i="25"/>
  <c r="R34" i="25"/>
  <c r="Q34" i="25"/>
  <c r="O34" i="25"/>
  <c r="S39" i="24"/>
  <c r="P42" i="24"/>
  <c r="R15" i="26" l="1"/>
  <c r="T16" i="26" s="1"/>
  <c r="C27" i="26" s="1"/>
  <c r="U12" i="26"/>
  <c r="D26" i="26" s="1"/>
  <c r="Q9" i="26"/>
  <c r="R9" i="26" s="1"/>
  <c r="T10" i="26" s="1"/>
  <c r="C25" i="26" s="1"/>
  <c r="U9" i="26"/>
  <c r="D25" i="26" s="1"/>
  <c r="Q6" i="26"/>
  <c r="R6" i="26" s="1"/>
  <c r="T7" i="26" s="1"/>
  <c r="C24" i="26" s="1"/>
  <c r="U6" i="26"/>
  <c r="D24" i="26" s="1"/>
  <c r="Q30" i="25"/>
  <c r="O30" i="25"/>
  <c r="R29" i="25"/>
  <c r="Q29" i="25"/>
  <c r="O29" i="25"/>
  <c r="R24" i="25"/>
  <c r="Q24" i="25"/>
  <c r="O24" i="25"/>
  <c r="Q33" i="25"/>
  <c r="O33" i="25"/>
  <c r="R31" i="25"/>
  <c r="Q31" i="25"/>
  <c r="O31" i="25"/>
  <c r="R18" i="25"/>
  <c r="Q18" i="25"/>
  <c r="O18" i="25"/>
  <c r="P12" i="25"/>
  <c r="P22" i="25" s="1"/>
  <c r="A44" i="25"/>
  <c r="A37" i="25"/>
  <c r="A36" i="25"/>
  <c r="A30" i="25"/>
  <c r="A32" i="25" s="1"/>
  <c r="A33" i="25" s="1"/>
  <c r="R25" i="25"/>
  <c r="Q25" i="25"/>
  <c r="O25" i="25"/>
  <c r="R19" i="25"/>
  <c r="Q19" i="25"/>
  <c r="P19" i="25"/>
  <c r="O19" i="25"/>
  <c r="A19" i="25"/>
  <c r="A18" i="25"/>
  <c r="R17" i="25"/>
  <c r="Q17" i="25"/>
  <c r="P17" i="25"/>
  <c r="P25" i="25" s="1"/>
  <c r="P31" i="25" s="1"/>
  <c r="P36" i="25" s="1"/>
  <c r="O17" i="25"/>
  <c r="A17" i="25"/>
  <c r="Q14" i="25"/>
  <c r="Q15" i="25" s="1"/>
  <c r="P14" i="25"/>
  <c r="P15" i="25" s="1"/>
  <c r="O14" i="25"/>
  <c r="O15" i="25" s="1"/>
  <c r="R13" i="25"/>
  <c r="R14" i="25" s="1"/>
  <c r="R15" i="25" s="1"/>
  <c r="R33" i="25" s="1"/>
  <c r="R12" i="25"/>
  <c r="R22" i="25" s="1"/>
  <c r="Q12" i="25"/>
  <c r="Q22" i="25" s="1"/>
  <c r="O12" i="25"/>
  <c r="O22" i="25" s="1"/>
  <c r="P12" i="24"/>
  <c r="H28" i="4"/>
  <c r="A44" i="24"/>
  <c r="F49" i="24" s="1"/>
  <c r="A37" i="24"/>
  <c r="A36" i="24"/>
  <c r="A30" i="24"/>
  <c r="Q26" i="24"/>
  <c r="O25" i="24"/>
  <c r="O31" i="24" s="1"/>
  <c r="A19" i="24"/>
  <c r="R19" i="24"/>
  <c r="Q19" i="24"/>
  <c r="P19" i="24"/>
  <c r="P26" i="24" s="1"/>
  <c r="O19" i="24"/>
  <c r="A18" i="24"/>
  <c r="R26" i="24" s="1"/>
  <c r="R17" i="24"/>
  <c r="R25" i="24" s="1"/>
  <c r="R31" i="24" s="1"/>
  <c r="Q17" i="24"/>
  <c r="Q25" i="24" s="1"/>
  <c r="Q31" i="24" s="1"/>
  <c r="P17" i="24"/>
  <c r="P25" i="24" s="1"/>
  <c r="P31" i="24" s="1"/>
  <c r="O17" i="24"/>
  <c r="A17" i="24"/>
  <c r="P15" i="24"/>
  <c r="P24" i="24" s="1"/>
  <c r="P30" i="24" s="1"/>
  <c r="O15" i="24"/>
  <c r="R14" i="24"/>
  <c r="R15" i="24" s="1"/>
  <c r="Q14" i="24"/>
  <c r="Q15" i="24" s="1"/>
  <c r="P14" i="24"/>
  <c r="O14" i="24"/>
  <c r="R13" i="24"/>
  <c r="O51" i="23"/>
  <c r="W32" i="23" s="1"/>
  <c r="U46" i="23"/>
  <c r="AG51" i="23"/>
  <c r="BB49" i="23"/>
  <c r="BA49" i="23"/>
  <c r="AZ49" i="23"/>
  <c r="BC42" i="23"/>
  <c r="BC45" i="23" s="1"/>
  <c r="BB42" i="23"/>
  <c r="BB45" i="23" s="1"/>
  <c r="AZ42" i="23"/>
  <c r="AZ45" i="23" s="1"/>
  <c r="AZ40" i="23"/>
  <c r="B38" i="23"/>
  <c r="A38" i="23" s="1"/>
  <c r="W40" i="23" s="1"/>
  <c r="B37" i="23"/>
  <c r="A37" i="23"/>
  <c r="B36" i="23"/>
  <c r="A36" i="23" s="1"/>
  <c r="B32" i="23"/>
  <c r="A32" i="23"/>
  <c r="X31" i="23"/>
  <c r="U31" i="23"/>
  <c r="A31" i="23"/>
  <c r="B30" i="23"/>
  <c r="B29" i="23"/>
  <c r="Z28" i="23"/>
  <c r="A28" i="23"/>
  <c r="W31" i="23" s="1"/>
  <c r="AW27" i="23"/>
  <c r="AW35" i="23" s="1"/>
  <c r="W27" i="23"/>
  <c r="U26" i="23"/>
  <c r="V26" i="23" s="1"/>
  <c r="W26" i="23" s="1"/>
  <c r="X23" i="23" s="1"/>
  <c r="A26" i="23"/>
  <c r="U25" i="23" s="1"/>
  <c r="V25" i="23" s="1"/>
  <c r="W25" i="23" s="1"/>
  <c r="W24" i="23"/>
  <c r="Z23" i="23"/>
  <c r="B23" i="23"/>
  <c r="V22" i="23"/>
  <c r="V41" i="23" s="1"/>
  <c r="B22" i="23"/>
  <c r="AE21" i="23"/>
  <c r="B21" i="23"/>
  <c r="AE19" i="23"/>
  <c r="AJ18" i="23" s="1"/>
  <c r="W19" i="23"/>
  <c r="U19" i="23"/>
  <c r="W18" i="23"/>
  <c r="U18" i="23"/>
  <c r="AY17" i="23"/>
  <c r="AX17" i="23"/>
  <c r="AW17" i="23"/>
  <c r="Z17" i="23"/>
  <c r="B17" i="23"/>
  <c r="A17" i="23"/>
  <c r="X46" i="23" s="1"/>
  <c r="W16" i="23"/>
  <c r="U16" i="23"/>
  <c r="B16" i="23"/>
  <c r="B15" i="23"/>
  <c r="AE12" i="23"/>
  <c r="X12" i="23"/>
  <c r="W12" i="23"/>
  <c r="V12" i="23"/>
  <c r="U12" i="23"/>
  <c r="X14" i="23" s="1"/>
  <c r="B12" i="23"/>
  <c r="B11" i="23"/>
  <c r="A10" i="23"/>
  <c r="AE9" i="23"/>
  <c r="X9" i="23"/>
  <c r="W9" i="23"/>
  <c r="V9" i="23"/>
  <c r="U9" i="23"/>
  <c r="B9" i="23"/>
  <c r="AE8" i="23"/>
  <c r="AY12" i="23" s="1"/>
  <c r="X8" i="23"/>
  <c r="W8" i="23"/>
  <c r="V8" i="23"/>
  <c r="U8" i="23"/>
  <c r="B8" i="23"/>
  <c r="AZ7" i="23"/>
  <c r="AY7" i="23"/>
  <c r="AX7" i="23"/>
  <c r="AZ8" i="23" s="1"/>
  <c r="AW7" i="23"/>
  <c r="X7" i="23"/>
  <c r="W7" i="23"/>
  <c r="V7" i="23"/>
  <c r="U7" i="23"/>
  <c r="X13" i="23" s="1"/>
  <c r="B7" i="23"/>
  <c r="AE6" i="23"/>
  <c r="AE7" i="23" s="1"/>
  <c r="AE18" i="23" s="1"/>
  <c r="B6" i="23"/>
  <c r="AE3" i="23"/>
  <c r="AE11" i="23" s="1"/>
  <c r="P18" i="25" l="1"/>
  <c r="P24" i="25" s="1"/>
  <c r="P29" i="25" s="1"/>
  <c r="P35" i="25" s="1"/>
  <c r="P26" i="25"/>
  <c r="P27" i="25"/>
  <c r="Q27" i="25"/>
  <c r="R27" i="25"/>
  <c r="R23" i="25"/>
  <c r="R28" i="25" s="1"/>
  <c r="O23" i="25"/>
  <c r="O28" i="25" s="1"/>
  <c r="O32" i="25" s="1"/>
  <c r="P23" i="25"/>
  <c r="P28" i="25" s="1"/>
  <c r="Q23" i="25"/>
  <c r="Q28" i="25" s="1"/>
  <c r="Q32" i="25" s="1"/>
  <c r="O27" i="25"/>
  <c r="A32" i="24"/>
  <c r="A33" i="24" s="1"/>
  <c r="A28" i="24" s="1"/>
  <c r="O24" i="24"/>
  <c r="O30" i="24" s="1"/>
  <c r="O26" i="24"/>
  <c r="W46" i="23"/>
  <c r="Q24" i="24"/>
  <c r="Q30" i="24" s="1"/>
  <c r="Q34" i="24"/>
  <c r="R24" i="24"/>
  <c r="R30" i="24" s="1"/>
  <c r="R34" i="24"/>
  <c r="Q12" i="24"/>
  <c r="R12" i="24"/>
  <c r="P34" i="24"/>
  <c r="O12" i="24"/>
  <c r="U32" i="23"/>
  <c r="X32" i="23"/>
  <c r="V32" i="23"/>
  <c r="AY13" i="23"/>
  <c r="AY10" i="23" s="1"/>
  <c r="AY23" i="23" s="1"/>
  <c r="AY15" i="23"/>
  <c r="AY20" i="23" s="1"/>
  <c r="X10" i="23"/>
  <c r="X11" i="23" s="1"/>
  <c r="W10" i="23"/>
  <c r="W11" i="23" s="1"/>
  <c r="A13" i="23"/>
  <c r="V10" i="23"/>
  <c r="V11" i="23" s="1"/>
  <c r="U10" i="23"/>
  <c r="U11" i="23" s="1"/>
  <c r="W42" i="23"/>
  <c r="V42" i="23"/>
  <c r="U42" i="23"/>
  <c r="U40" i="23"/>
  <c r="U27" i="23"/>
  <c r="U24" i="23"/>
  <c r="U21" i="23"/>
  <c r="U20" i="23"/>
  <c r="AZ54" i="23"/>
  <c r="V19" i="23"/>
  <c r="Z31" i="23"/>
  <c r="AW12" i="23"/>
  <c r="AW13" i="23" s="1"/>
  <c r="AW10" i="23" s="1"/>
  <c r="AW23" i="23" s="1"/>
  <c r="BB43" i="23"/>
  <c r="BB44" i="23" s="1"/>
  <c r="BB46" i="23" s="1"/>
  <c r="BB48" i="23" s="1"/>
  <c r="BC43" i="23"/>
  <c r="BC44" i="23" s="1"/>
  <c r="BC46" i="23" s="1"/>
  <c r="BC48" i="23" s="1"/>
  <c r="A14" i="23"/>
  <c r="X25" i="23"/>
  <c r="X17" i="23"/>
  <c r="U39" i="23"/>
  <c r="W21" i="23"/>
  <c r="W30" i="23" s="1"/>
  <c r="X41" i="23"/>
  <c r="W41" i="23"/>
  <c r="U41" i="23"/>
  <c r="AZ43" i="23"/>
  <c r="AZ44" i="23" s="1"/>
  <c r="AZ46" i="23" s="1"/>
  <c r="AZ48" i="23" s="1"/>
  <c r="W39" i="23"/>
  <c r="Z19" i="23"/>
  <c r="X19" i="23"/>
  <c r="V31" i="23"/>
  <c r="BB40" i="23"/>
  <c r="W20" i="23"/>
  <c r="V21" i="23"/>
  <c r="AY27" i="23"/>
  <c r="AY35" i="23" s="1"/>
  <c r="BC40" i="23"/>
  <c r="AZ27" i="23"/>
  <c r="AE4" i="23"/>
  <c r="AE23" i="23" s="1"/>
  <c r="U69" i="18"/>
  <c r="U67" i="18"/>
  <c r="V22" i="18"/>
  <c r="O56" i="18"/>
  <c r="P33" i="25" l="1"/>
  <c r="P34" i="25"/>
  <c r="P38" i="25" s="1"/>
  <c r="P30" i="25"/>
  <c r="P32" i="25"/>
  <c r="R32" i="25"/>
  <c r="R37" i="25"/>
  <c r="R38" i="25" s="1"/>
  <c r="R30" i="25"/>
  <c r="R26" i="25"/>
  <c r="Q26" i="25"/>
  <c r="O26" i="25"/>
  <c r="U43" i="23"/>
  <c r="BC50" i="23"/>
  <c r="W43" i="23"/>
  <c r="O22" i="24"/>
  <c r="O23" i="24"/>
  <c r="O27" i="24" s="1"/>
  <c r="O32" i="24" s="1"/>
  <c r="R22" i="24"/>
  <c r="R23" i="24"/>
  <c r="R27" i="24" s="1"/>
  <c r="R32" i="24" s="1"/>
  <c r="O34" i="24"/>
  <c r="P22" i="24"/>
  <c r="P23" i="24"/>
  <c r="P27" i="24" s="1"/>
  <c r="P32" i="24" s="1"/>
  <c r="Q23" i="24"/>
  <c r="Q27" i="24" s="1"/>
  <c r="Q32" i="24" s="1"/>
  <c r="Q22" i="24"/>
  <c r="X20" i="23"/>
  <c r="X16" i="23" s="1"/>
  <c r="X40" i="23"/>
  <c r="X27" i="23"/>
  <c r="X24" i="23"/>
  <c r="Z29" i="23"/>
  <c r="W28" i="23"/>
  <c r="U30" i="23"/>
  <c r="Z25" i="23"/>
  <c r="Z16" i="23"/>
  <c r="Z18" i="23" s="1"/>
  <c r="Z22" i="23"/>
  <c r="U34" i="23"/>
  <c r="V30" i="23"/>
  <c r="X42" i="23"/>
  <c r="U29" i="23"/>
  <c r="U28" i="23"/>
  <c r="X33" i="23"/>
  <c r="U33" i="23"/>
  <c r="U35" i="23" s="1"/>
  <c r="W29" i="23"/>
  <c r="V40" i="23"/>
  <c r="V27" i="23"/>
  <c r="V24" i="23"/>
  <c r="V20" i="23"/>
  <c r="V16" i="23" s="1"/>
  <c r="V46" i="23" s="1"/>
  <c r="AW19" i="23"/>
  <c r="AE33" i="23"/>
  <c r="AE40" i="23"/>
  <c r="AE41" i="23" s="1"/>
  <c r="AY19" i="23"/>
  <c r="AX19" i="23"/>
  <c r="BB50" i="23"/>
  <c r="BB54" i="23"/>
  <c r="AZ50" i="23"/>
  <c r="V33" i="23"/>
  <c r="AW15" i="23"/>
  <c r="AW20" i="23" s="1"/>
  <c r="W33" i="23"/>
  <c r="L29" i="21"/>
  <c r="L28" i="21"/>
  <c r="L27" i="21"/>
  <c r="K26" i="21"/>
  <c r="L24" i="21"/>
  <c r="K23" i="21"/>
  <c r="A99" i="21"/>
  <c r="A87" i="21"/>
  <c r="A82" i="21"/>
  <c r="A74" i="21"/>
  <c r="A71" i="21"/>
  <c r="A75" i="21" s="1"/>
  <c r="A57" i="21"/>
  <c r="A45" i="21"/>
  <c r="A41" i="21"/>
  <c r="A36" i="21"/>
  <c r="A38" i="21" s="1"/>
  <c r="A33" i="21"/>
  <c r="A30" i="21"/>
  <c r="A34" i="21" s="1"/>
  <c r="H23" i="21"/>
  <c r="AA13" i="21"/>
  <c r="Z13" i="21"/>
  <c r="Y13" i="21"/>
  <c r="X13" i="21"/>
  <c r="W13" i="21"/>
  <c r="V13" i="21"/>
  <c r="U13" i="21"/>
  <c r="O28" i="24" l="1"/>
  <c r="O29" i="24"/>
  <c r="O33" i="24" s="1"/>
  <c r="P28" i="24"/>
  <c r="P29" i="24"/>
  <c r="P33" i="24" s="1"/>
  <c r="Q28" i="24"/>
  <c r="Q29" i="24"/>
  <c r="Q33" i="24" s="1"/>
  <c r="R28" i="24"/>
  <c r="R29" i="24"/>
  <c r="U36" i="23"/>
  <c r="U45" i="23" s="1"/>
  <c r="U47" i="23" s="1"/>
  <c r="AE45" i="23"/>
  <c r="AE42" i="23"/>
  <c r="X35" i="23"/>
  <c r="W35" i="23"/>
  <c r="V39" i="23"/>
  <c r="V43" i="23" s="1"/>
  <c r="V18" i="23"/>
  <c r="X28" i="23"/>
  <c r="X29" i="23"/>
  <c r="X34" i="23"/>
  <c r="V29" i="23"/>
  <c r="V35" i="23" s="1"/>
  <c r="V28" i="23"/>
  <c r="V34" i="23" s="1"/>
  <c r="Z26" i="23"/>
  <c r="Z32" i="23" s="1"/>
  <c r="Z27" i="23"/>
  <c r="Z33" i="23" s="1"/>
  <c r="X39" i="23"/>
  <c r="X43" i="23" s="1"/>
  <c r="X18" i="23"/>
  <c r="W34" i="23"/>
  <c r="X21" i="23"/>
  <c r="X30" i="23" s="1"/>
  <c r="AB13" i="21"/>
  <c r="AC13" i="21" s="1"/>
  <c r="AD13" i="21" s="1"/>
  <c r="AD16" i="21" s="1"/>
  <c r="A77" i="21"/>
  <c r="A79" i="21" s="1"/>
  <c r="A31" i="21"/>
  <c r="A43" i="21" s="1"/>
  <c r="A48" i="21"/>
  <c r="A51" i="21" s="1"/>
  <c r="D54" i="21" s="1"/>
  <c r="A72" i="21"/>
  <c r="A84" i="21" s="1"/>
  <c r="AA13" i="19"/>
  <c r="Z13" i="19"/>
  <c r="Y13" i="19"/>
  <c r="X13" i="19"/>
  <c r="W13" i="19"/>
  <c r="V13" i="19"/>
  <c r="U13" i="19"/>
  <c r="BB49" i="20"/>
  <c r="BA49" i="20"/>
  <c r="AZ49" i="20"/>
  <c r="BC42" i="20"/>
  <c r="BC45" i="20" s="1"/>
  <c r="BB42" i="20"/>
  <c r="BB45" i="20" s="1"/>
  <c r="AZ42" i="20"/>
  <c r="AZ45" i="20" s="1"/>
  <c r="K36" i="20"/>
  <c r="X31" i="20"/>
  <c r="U31" i="20"/>
  <c r="B30" i="20"/>
  <c r="B29" i="20"/>
  <c r="Z28" i="20"/>
  <c r="A28" i="20"/>
  <c r="W31" i="20" s="1"/>
  <c r="W27" i="20"/>
  <c r="U27" i="20"/>
  <c r="U26" i="20"/>
  <c r="A26" i="20"/>
  <c r="A31" i="20" s="1"/>
  <c r="U25" i="20"/>
  <c r="V25" i="20" s="1"/>
  <c r="W25" i="20" s="1"/>
  <c r="W24" i="20"/>
  <c r="U24" i="20"/>
  <c r="Z23" i="20"/>
  <c r="B23" i="20"/>
  <c r="V22" i="20"/>
  <c r="V31" i="20" s="1"/>
  <c r="B22" i="20"/>
  <c r="AE21" i="20"/>
  <c r="B21" i="20"/>
  <c r="V20" i="20"/>
  <c r="U20" i="20"/>
  <c r="AE19" i="20"/>
  <c r="AJ18" i="20" s="1"/>
  <c r="W19" i="20"/>
  <c r="U19" i="20"/>
  <c r="U21" i="20" s="1"/>
  <c r="W18" i="20"/>
  <c r="W49" i="20" s="1"/>
  <c r="W51" i="20" s="1"/>
  <c r="U18" i="20"/>
  <c r="AY17" i="20"/>
  <c r="AX17" i="20"/>
  <c r="AW17" i="20"/>
  <c r="Z17" i="20"/>
  <c r="W16" i="20"/>
  <c r="V16" i="20"/>
  <c r="U16" i="20"/>
  <c r="Y57" i="20" s="1"/>
  <c r="B16" i="20"/>
  <c r="B15" i="20"/>
  <c r="AE12" i="20"/>
  <c r="X12" i="20"/>
  <c r="W12" i="20"/>
  <c r="V12" i="20"/>
  <c r="U12" i="20"/>
  <c r="X14" i="20" s="1"/>
  <c r="B12" i="20"/>
  <c r="B11" i="20"/>
  <c r="A10" i="20"/>
  <c r="AE9" i="20"/>
  <c r="X9" i="20"/>
  <c r="W9" i="20"/>
  <c r="V9" i="20"/>
  <c r="U9" i="20"/>
  <c r="B9" i="20"/>
  <c r="AE8" i="20"/>
  <c r="X8" i="20"/>
  <c r="W8" i="20"/>
  <c r="V8" i="20"/>
  <c r="U8" i="20"/>
  <c r="B8" i="20"/>
  <c r="X7" i="20"/>
  <c r="W7" i="20"/>
  <c r="V7" i="20"/>
  <c r="X13" i="20" s="1"/>
  <c r="U7" i="20"/>
  <c r="B7" i="20"/>
  <c r="AE6" i="20"/>
  <c r="AE7" i="20" s="1"/>
  <c r="AE18" i="20" s="1"/>
  <c r="B6" i="20"/>
  <c r="AE3" i="20"/>
  <c r="A99" i="19"/>
  <c r="A87" i="19"/>
  <c r="A82" i="19"/>
  <c r="A74" i="19"/>
  <c r="A71" i="19"/>
  <c r="A77" i="19" s="1"/>
  <c r="A57" i="19"/>
  <c r="A45" i="19"/>
  <c r="A41" i="19"/>
  <c r="A43" i="19" s="1"/>
  <c r="A33" i="19"/>
  <c r="A30" i="19"/>
  <c r="A31" i="19" s="1"/>
  <c r="H23" i="19"/>
  <c r="P42" i="17"/>
  <c r="A37" i="17"/>
  <c r="A36" i="17"/>
  <c r="F49" i="17"/>
  <c r="S39" i="17"/>
  <c r="R18" i="17"/>
  <c r="Q18" i="17"/>
  <c r="O18" i="17"/>
  <c r="P18" i="17"/>
  <c r="O23" i="17"/>
  <c r="Q23" i="17"/>
  <c r="R23" i="17"/>
  <c r="A44" i="17"/>
  <c r="A18" i="17"/>
  <c r="P35" i="24" l="1"/>
  <c r="S30" i="24"/>
  <c r="R33" i="24"/>
  <c r="U48" i="23"/>
  <c r="U37" i="23"/>
  <c r="U38" i="23" s="1"/>
  <c r="Z40" i="23"/>
  <c r="W36" i="23"/>
  <c r="W45" i="23" s="1"/>
  <c r="W47" i="23" s="1"/>
  <c r="W48" i="23" s="1"/>
  <c r="V36" i="23"/>
  <c r="V45" i="23" s="1"/>
  <c r="V47" i="23" s="1"/>
  <c r="V48" i="23" s="1"/>
  <c r="X36" i="23"/>
  <c r="X45" i="23" s="1"/>
  <c r="X47" i="23" s="1"/>
  <c r="X48" i="23" s="1"/>
  <c r="Z34" i="23"/>
  <c r="X50" i="23"/>
  <c r="X51" i="23" s="1"/>
  <c r="X52" i="23" s="1"/>
  <c r="A90" i="21"/>
  <c r="A93" i="21" s="1"/>
  <c r="D96" i="21" s="1"/>
  <c r="A60" i="21"/>
  <c r="A62" i="21" s="1"/>
  <c r="A64" i="21" s="1"/>
  <c r="P25" i="17"/>
  <c r="P31" i="17" s="1"/>
  <c r="AB13" i="19"/>
  <c r="AC13" i="19" s="1"/>
  <c r="AD13" i="19" s="1"/>
  <c r="AD16" i="19" s="1"/>
  <c r="X10" i="20"/>
  <c r="X11" i="20" s="1"/>
  <c r="W10" i="20"/>
  <c r="W11" i="20" s="1"/>
  <c r="A13" i="20"/>
  <c r="U29" i="20" s="1"/>
  <c r="V10" i="20"/>
  <c r="V11" i="20" s="1"/>
  <c r="A14" i="20"/>
  <c r="W28" i="20" s="1"/>
  <c r="U10" i="20"/>
  <c r="U11" i="20" s="1"/>
  <c r="X32" i="20"/>
  <c r="BB43" i="20"/>
  <c r="BB44" i="20" s="1"/>
  <c r="BB46" i="20" s="1"/>
  <c r="BB48" i="20" s="1"/>
  <c r="AZ43" i="20"/>
  <c r="AZ44" i="20" s="1"/>
  <c r="AZ46" i="20" s="1"/>
  <c r="AZ48" i="20" s="1"/>
  <c r="AY12" i="20"/>
  <c r="AY13" i="20" s="1"/>
  <c r="AY10" i="20" s="1"/>
  <c r="AY23" i="20" s="1"/>
  <c r="AW12" i="20"/>
  <c r="AW13" i="20" s="1"/>
  <c r="AW10" i="20" s="1"/>
  <c r="AW23" i="20" s="1"/>
  <c r="BC43" i="20"/>
  <c r="BC44" i="20" s="1"/>
  <c r="BC46" i="20" s="1"/>
  <c r="BC48" i="20" s="1"/>
  <c r="Z19" i="20"/>
  <c r="AY15" i="20"/>
  <c r="AY20" i="20" s="1"/>
  <c r="AG51" i="20"/>
  <c r="AZ27" i="20"/>
  <c r="AY27" i="20"/>
  <c r="AY35" i="20" s="1"/>
  <c r="AZ7" i="20"/>
  <c r="AY7" i="20"/>
  <c r="BC40" i="20"/>
  <c r="BC50" i="20" s="1"/>
  <c r="AW27" i="20"/>
  <c r="AW35" i="20" s="1"/>
  <c r="BB40" i="20"/>
  <c r="AW7" i="20"/>
  <c r="AE11" i="20"/>
  <c r="AE4" i="20"/>
  <c r="AE23" i="20" s="1"/>
  <c r="AZ40" i="20"/>
  <c r="AX7" i="20"/>
  <c r="V32" i="20"/>
  <c r="Y55" i="20"/>
  <c r="Y56" i="20" s="1"/>
  <c r="V33" i="20"/>
  <c r="U32" i="20"/>
  <c r="V18" i="20"/>
  <c r="V49" i="20" s="1"/>
  <c r="V51" i="20" s="1"/>
  <c r="V19" i="20"/>
  <c r="V26" i="20"/>
  <c r="W26" i="20" s="1"/>
  <c r="X23" i="20" s="1"/>
  <c r="W20" i="20"/>
  <c r="W21" i="20" s="1"/>
  <c r="W30" i="20" s="1"/>
  <c r="U49" i="20"/>
  <c r="U51" i="20" s="1"/>
  <c r="A90" i="19"/>
  <c r="A79" i="19"/>
  <c r="A72" i="19"/>
  <c r="A84" i="19" s="1"/>
  <c r="A34" i="19"/>
  <c r="A75" i="19"/>
  <c r="A36" i="19"/>
  <c r="Q26" i="17"/>
  <c r="R26" i="17"/>
  <c r="O26" i="17"/>
  <c r="P26" i="17"/>
  <c r="AZ40" i="8"/>
  <c r="BB40" i="8"/>
  <c r="BC40" i="8"/>
  <c r="AZ42" i="8"/>
  <c r="AZ45" i="8" s="1"/>
  <c r="BB42" i="8"/>
  <c r="BB45" i="8" s="1"/>
  <c r="BC42" i="8"/>
  <c r="AZ43" i="8"/>
  <c r="AZ44" i="8" s="1"/>
  <c r="AZ46" i="8" s="1"/>
  <c r="AZ48" i="8" s="1"/>
  <c r="BB43" i="8"/>
  <c r="BB44" i="8" s="1"/>
  <c r="BC43" i="8"/>
  <c r="BC44" i="8" s="1"/>
  <c r="BC46" i="8" s="1"/>
  <c r="BC48" i="8" s="1"/>
  <c r="BC45" i="8"/>
  <c r="AZ49" i="8"/>
  <c r="BA49" i="8"/>
  <c r="BB49" i="8"/>
  <c r="BC52" i="8"/>
  <c r="AZ54" i="8"/>
  <c r="BB54" i="8"/>
  <c r="A84" i="4"/>
  <c r="AE3" i="18"/>
  <c r="AE6" i="18"/>
  <c r="AE7" i="18" s="1"/>
  <c r="AE18" i="18" s="1"/>
  <c r="AW7" i="18"/>
  <c r="AX7" i="18"/>
  <c r="AE8" i="18"/>
  <c r="AE9" i="18"/>
  <c r="AE12" i="18"/>
  <c r="AW12" i="18"/>
  <c r="AW13" i="18" s="1"/>
  <c r="AW10" i="18" s="1"/>
  <c r="AW23" i="18" s="1"/>
  <c r="AY12" i="18"/>
  <c r="AY13" i="18" s="1"/>
  <c r="AY10" i="18" s="1"/>
  <c r="AY23" i="18" s="1"/>
  <c r="AW17" i="18"/>
  <c r="AX17" i="18"/>
  <c r="AY17" i="18"/>
  <c r="AE19" i="18"/>
  <c r="AJ18" i="18" s="1"/>
  <c r="AE21" i="18"/>
  <c r="AW27" i="18"/>
  <c r="AW35" i="18" s="1"/>
  <c r="AY27" i="18"/>
  <c r="AY35" i="18" s="1"/>
  <c r="BB40" i="18"/>
  <c r="BC40" i="18"/>
  <c r="AZ42" i="18"/>
  <c r="AZ45" i="18" s="1"/>
  <c r="BB42" i="18"/>
  <c r="BB45" i="18" s="1"/>
  <c r="BC42" i="18"/>
  <c r="BC45" i="18" s="1"/>
  <c r="AZ43" i="18"/>
  <c r="AZ44" i="18" s="1"/>
  <c r="AZ46" i="18" s="1"/>
  <c r="AZ48" i="18" s="1"/>
  <c r="BB43" i="18"/>
  <c r="BC43" i="18"/>
  <c r="BC44" i="18" s="1"/>
  <c r="BC46" i="18" s="1"/>
  <c r="BC48" i="18" s="1"/>
  <c r="AZ49" i="18"/>
  <c r="BA49" i="18"/>
  <c r="BB49" i="18"/>
  <c r="AG51" i="18"/>
  <c r="BB54" i="18"/>
  <c r="A104" i="4"/>
  <c r="B37" i="18"/>
  <c r="A37" i="18" s="1"/>
  <c r="B36" i="18"/>
  <c r="A36" i="18" s="1"/>
  <c r="A102" i="4"/>
  <c r="B32" i="18"/>
  <c r="A32" i="18" s="1"/>
  <c r="A87" i="4"/>
  <c r="A45" i="4"/>
  <c r="B17" i="18"/>
  <c r="A17" i="18" s="1"/>
  <c r="B38" i="18"/>
  <c r="A38" i="18" s="1"/>
  <c r="B16" i="18"/>
  <c r="W31" i="18"/>
  <c r="U31" i="18"/>
  <c r="B30" i="18"/>
  <c r="B29" i="18"/>
  <c r="Z28" i="18"/>
  <c r="A28" i="18"/>
  <c r="X31" i="18" s="1"/>
  <c r="U26" i="18"/>
  <c r="V26" i="18" s="1"/>
  <c r="W26" i="18" s="1"/>
  <c r="X23" i="18" s="1"/>
  <c r="A26" i="18"/>
  <c r="A31" i="18" s="1"/>
  <c r="Z23" i="18"/>
  <c r="B23" i="18"/>
  <c r="V31" i="18"/>
  <c r="B22" i="18"/>
  <c r="B21" i="18"/>
  <c r="W19" i="18"/>
  <c r="U19" i="18"/>
  <c r="U27" i="18" s="1"/>
  <c r="W18" i="18"/>
  <c r="U18" i="18"/>
  <c r="Z17" i="18"/>
  <c r="W16" i="18"/>
  <c r="U16" i="18"/>
  <c r="B15" i="18"/>
  <c r="X12" i="18"/>
  <c r="W12" i="18"/>
  <c r="V12" i="18"/>
  <c r="U12" i="18"/>
  <c r="X14" i="18" s="1"/>
  <c r="B12" i="18"/>
  <c r="B11" i="18"/>
  <c r="A10" i="18"/>
  <c r="X10" i="18" s="1"/>
  <c r="X11" i="18" s="1"/>
  <c r="X9" i="18"/>
  <c r="W9" i="18"/>
  <c r="V9" i="18"/>
  <c r="U9" i="18"/>
  <c r="B9" i="18"/>
  <c r="X8" i="18"/>
  <c r="W8" i="18"/>
  <c r="V8" i="18"/>
  <c r="U8" i="18"/>
  <c r="B8" i="18"/>
  <c r="X7" i="18"/>
  <c r="W7" i="18"/>
  <c r="V7" i="18"/>
  <c r="X13" i="18" s="1"/>
  <c r="U7" i="18"/>
  <c r="B7" i="18"/>
  <c r="B6" i="18"/>
  <c r="A99" i="4"/>
  <c r="AD16" i="4"/>
  <c r="A93" i="4"/>
  <c r="A90" i="4"/>
  <c r="AE4" i="18" l="1"/>
  <c r="AE23" i="18" s="1"/>
  <c r="AW19" i="18" s="1"/>
  <c r="V51" i="23"/>
  <c r="V37" i="23"/>
  <c r="V38" i="23" s="1"/>
  <c r="AA40" i="23"/>
  <c r="W37" i="23"/>
  <c r="W38" i="23" s="1"/>
  <c r="AB40" i="23"/>
  <c r="X37" i="23"/>
  <c r="AC40" i="23"/>
  <c r="BC52" i="23"/>
  <c r="AE34" i="23"/>
  <c r="AE37" i="23" s="1"/>
  <c r="AE46" i="23" s="1"/>
  <c r="AE47" i="23" s="1"/>
  <c r="AX11" i="23"/>
  <c r="A102" i="21"/>
  <c r="A104" i="21" s="1"/>
  <c r="A106" i="21" s="1"/>
  <c r="AE40" i="20"/>
  <c r="AE41" i="20" s="1"/>
  <c r="AW19" i="20"/>
  <c r="AE33" i="20"/>
  <c r="AY19" i="20"/>
  <c r="AX19" i="20"/>
  <c r="X25" i="20"/>
  <c r="X17" i="20"/>
  <c r="X33" i="20"/>
  <c r="X19" i="20"/>
  <c r="W33" i="20"/>
  <c r="W35" i="20" s="1"/>
  <c r="V27" i="20"/>
  <c r="V24" i="20"/>
  <c r="V21" i="20"/>
  <c r="V30" i="20" s="1"/>
  <c r="V46" i="20" s="1"/>
  <c r="AE13" i="20" s="1"/>
  <c r="AE30" i="20" s="1"/>
  <c r="AW15" i="20"/>
  <c r="AW20" i="20" s="1"/>
  <c r="Z25" i="20"/>
  <c r="Z22" i="20"/>
  <c r="Z16" i="20"/>
  <c r="Z18" i="20" s="1"/>
  <c r="W32" i="20"/>
  <c r="W34" i="20" s="1"/>
  <c r="U33" i="20"/>
  <c r="U35" i="20" s="1"/>
  <c r="U30" i="20"/>
  <c r="AZ8" i="20"/>
  <c r="W29" i="20"/>
  <c r="BB54" i="20"/>
  <c r="BB50" i="20"/>
  <c r="Z31" i="20"/>
  <c r="AZ50" i="20"/>
  <c r="AZ54" i="20"/>
  <c r="Z29" i="20"/>
  <c r="U28" i="20"/>
  <c r="A38" i="19"/>
  <c r="A48" i="19"/>
  <c r="A51" i="19" s="1"/>
  <c r="A93" i="19"/>
  <c r="AW15" i="18"/>
  <c r="AW20" i="18" s="1"/>
  <c r="BC50" i="8"/>
  <c r="BB50" i="8"/>
  <c r="BB46" i="8"/>
  <c r="BB48" i="8" s="1"/>
  <c r="AZ50" i="8"/>
  <c r="AX19" i="18"/>
  <c r="BC50" i="18"/>
  <c r="BB44" i="18"/>
  <c r="BB46" i="18" s="1"/>
  <c r="BB48" i="18" s="1"/>
  <c r="AE11" i="18"/>
  <c r="AZ7" i="18"/>
  <c r="AZ40" i="18"/>
  <c r="AZ27" i="18"/>
  <c r="AY15" i="18"/>
  <c r="AY20" i="18" s="1"/>
  <c r="AY7" i="18"/>
  <c r="AZ8" i="18" s="1"/>
  <c r="V43" i="18"/>
  <c r="W43" i="18"/>
  <c r="U43" i="18"/>
  <c r="U40" i="18"/>
  <c r="W40" i="18"/>
  <c r="W42" i="18"/>
  <c r="V42" i="18"/>
  <c r="W41" i="18"/>
  <c r="U41" i="18"/>
  <c r="U42" i="18"/>
  <c r="X42" i="18"/>
  <c r="U33" i="18"/>
  <c r="U35" i="18" s="1"/>
  <c r="Z31" i="18"/>
  <c r="U29" i="18"/>
  <c r="U28" i="18"/>
  <c r="X25" i="18"/>
  <c r="X17" i="18"/>
  <c r="X43" i="18" s="1"/>
  <c r="V19" i="18"/>
  <c r="V41" i="18" s="1"/>
  <c r="U10" i="18"/>
  <c r="U11" i="18" s="1"/>
  <c r="A14" i="18"/>
  <c r="U25" i="18"/>
  <c r="V25" i="18" s="1"/>
  <c r="W25" i="18" s="1"/>
  <c r="W24" i="18"/>
  <c r="W27" i="18"/>
  <c r="U20" i="18"/>
  <c r="U21" i="18" s="1"/>
  <c r="U30" i="18" s="1"/>
  <c r="V10" i="18"/>
  <c r="V11" i="18" s="1"/>
  <c r="A13" i="18"/>
  <c r="W33" i="18" s="1"/>
  <c r="W10" i="18"/>
  <c r="W11" i="18" s="1"/>
  <c r="W20" i="18"/>
  <c r="W21" i="18" s="1"/>
  <c r="W30" i="18" s="1"/>
  <c r="U24" i="18"/>
  <c r="D96" i="4"/>
  <c r="A106" i="4"/>
  <c r="V19" i="8"/>
  <c r="V21" i="8" s="1"/>
  <c r="V20" i="8"/>
  <c r="AY19" i="18" l="1"/>
  <c r="AE40" i="18"/>
  <c r="AE41" i="18" s="1"/>
  <c r="AE45" i="18" s="1"/>
  <c r="AE33" i="18"/>
  <c r="AE13" i="23"/>
  <c r="AE30" i="23" s="1"/>
  <c r="V52" i="23"/>
  <c r="V53" i="23" s="1"/>
  <c r="V54" i="23" s="1"/>
  <c r="W54" i="23" s="1"/>
  <c r="AX14" i="23"/>
  <c r="AZ16" i="23"/>
  <c r="AZ21" i="23"/>
  <c r="AX12" i="23"/>
  <c r="AX13" i="23" s="1"/>
  <c r="AX10" i="23" s="1"/>
  <c r="AX23" i="23" s="1"/>
  <c r="AE48" i="23"/>
  <c r="AE49" i="23" s="1"/>
  <c r="AW29" i="23"/>
  <c r="AW30" i="23" s="1"/>
  <c r="AZ29" i="23"/>
  <c r="AZ30" i="23" s="1"/>
  <c r="AY29" i="23"/>
  <c r="AY30" i="23" s="1"/>
  <c r="BA41" i="23"/>
  <c r="AX28" i="23"/>
  <c r="AE54" i="23"/>
  <c r="AE55" i="23" s="1"/>
  <c r="V20" i="18"/>
  <c r="V16" i="18" s="1"/>
  <c r="V18" i="18" s="1"/>
  <c r="V28" i="20"/>
  <c r="V29" i="20"/>
  <c r="V35" i="20" s="1"/>
  <c r="W36" i="20"/>
  <c r="W37" i="20" s="1"/>
  <c r="U34" i="20"/>
  <c r="X21" i="20"/>
  <c r="X30" i="20" s="1"/>
  <c r="X20" i="20"/>
  <c r="X16" i="20" s="1"/>
  <c r="X27" i="20"/>
  <c r="X24" i="20"/>
  <c r="Z26" i="20"/>
  <c r="Z32" i="20" s="1"/>
  <c r="Z27" i="20"/>
  <c r="Z33" i="20" s="1"/>
  <c r="Z34" i="20" s="1"/>
  <c r="U36" i="20"/>
  <c r="U37" i="20" s="1"/>
  <c r="AE34" i="20"/>
  <c r="AE37" i="20" s="1"/>
  <c r="BC52" i="20"/>
  <c r="AX11" i="20"/>
  <c r="X18" i="20"/>
  <c r="AE42" i="20"/>
  <c r="AE45" i="20"/>
  <c r="D96" i="19"/>
  <c r="A102" i="19"/>
  <c r="A104" i="19" s="1"/>
  <c r="A106" i="19" s="1"/>
  <c r="D54" i="19"/>
  <c r="A60" i="19"/>
  <c r="A62" i="19" s="1"/>
  <c r="A64" i="19" s="1"/>
  <c r="AZ50" i="18"/>
  <c r="AZ54" i="18"/>
  <c r="AE42" i="18"/>
  <c r="BB50" i="18"/>
  <c r="W44" i="18"/>
  <c r="U44" i="18"/>
  <c r="W32" i="18"/>
  <c r="W34" i="18" s="1"/>
  <c r="Z29" i="18"/>
  <c r="U32" i="18"/>
  <c r="U34" i="18" s="1"/>
  <c r="U36" i="18" s="1"/>
  <c r="U37" i="18" s="1"/>
  <c r="W28" i="18"/>
  <c r="W29" i="18"/>
  <c r="W35" i="18"/>
  <c r="W36" i="18" s="1"/>
  <c r="W37" i="18" s="1"/>
  <c r="W38" i="18" s="1"/>
  <c r="W39" i="18" s="1"/>
  <c r="X19" i="18"/>
  <c r="X41" i="18" s="1"/>
  <c r="Z19" i="18"/>
  <c r="V27" i="18"/>
  <c r="V24" i="18"/>
  <c r="V30" i="18"/>
  <c r="V33" i="18"/>
  <c r="X33" i="18"/>
  <c r="V32" i="18"/>
  <c r="X32" i="18"/>
  <c r="R19" i="17"/>
  <c r="Q19" i="17"/>
  <c r="O19" i="17"/>
  <c r="R17" i="17"/>
  <c r="R25" i="17" s="1"/>
  <c r="R31" i="17" s="1"/>
  <c r="Q17" i="17"/>
  <c r="Q25" i="17" s="1"/>
  <c r="Q31" i="17" s="1"/>
  <c r="O17" i="17"/>
  <c r="O25" i="17" s="1"/>
  <c r="O31" i="17" s="1"/>
  <c r="O14" i="17"/>
  <c r="O15" i="17" s="1"/>
  <c r="P14" i="17"/>
  <c r="P15" i="17" s="1"/>
  <c r="P24" i="17" s="1"/>
  <c r="P30" i="17" s="1"/>
  <c r="Q14" i="17"/>
  <c r="Q15" i="17" s="1"/>
  <c r="A30" i="17"/>
  <c r="A32" i="17" s="1"/>
  <c r="A33" i="17" s="1"/>
  <c r="A28" i="17" s="1"/>
  <c r="Q12" i="17"/>
  <c r="A19" i="17"/>
  <c r="O12" i="17" s="1"/>
  <c r="A17" i="17"/>
  <c r="X14" i="8"/>
  <c r="X12" i="8"/>
  <c r="W12" i="8"/>
  <c r="V12" i="8"/>
  <c r="U12" i="8"/>
  <c r="AJ18" i="8"/>
  <c r="X42" i="10"/>
  <c r="X43" i="10" s="1"/>
  <c r="AX15" i="23" l="1"/>
  <c r="AX20" i="23" s="1"/>
  <c r="AZ33" i="23"/>
  <c r="AZ32" i="23"/>
  <c r="AX31" i="23"/>
  <c r="AX29" i="23"/>
  <c r="BA42" i="23"/>
  <c r="BA45" i="23" s="1"/>
  <c r="BC47" i="23" s="1"/>
  <c r="BC49" i="23" s="1"/>
  <c r="BA43" i="23"/>
  <c r="AZ22" i="23"/>
  <c r="AZ17" i="23"/>
  <c r="V40" i="18"/>
  <c r="V44" i="18" s="1"/>
  <c r="V46" i="18" s="1"/>
  <c r="U60" i="18" s="1"/>
  <c r="U61" i="18" s="1"/>
  <c r="U62" i="18" s="1"/>
  <c r="U65" i="18" s="1"/>
  <c r="U71" i="18" s="1"/>
  <c r="AE46" i="20"/>
  <c r="BA41" i="20" s="1"/>
  <c r="X49" i="20"/>
  <c r="X51" i="20" s="1"/>
  <c r="X52" i="20" s="1"/>
  <c r="X40" i="20"/>
  <c r="X41" i="20" s="1"/>
  <c r="X43" i="20" s="1"/>
  <c r="V34" i="20"/>
  <c r="V36" i="20" s="1"/>
  <c r="V37" i="20" s="1"/>
  <c r="U38" i="20"/>
  <c r="U39" i="20" s="1"/>
  <c r="U44" i="20"/>
  <c r="X28" i="20"/>
  <c r="X34" i="20" s="1"/>
  <c r="X29" i="20"/>
  <c r="X35" i="20" s="1"/>
  <c r="X36" i="20" s="1"/>
  <c r="W38" i="20"/>
  <c r="W39" i="20" s="1"/>
  <c r="W44" i="20"/>
  <c r="W45" i="20"/>
  <c r="AX14" i="20"/>
  <c r="AZ16" i="20"/>
  <c r="AZ21" i="20"/>
  <c r="AX12" i="20"/>
  <c r="AX15" i="20"/>
  <c r="AX20" i="20" s="1"/>
  <c r="Y58" i="20"/>
  <c r="Y59" i="20" s="1"/>
  <c r="X37" i="20"/>
  <c r="U45" i="20"/>
  <c r="R22" i="17"/>
  <c r="O22" i="17"/>
  <c r="Q22" i="17"/>
  <c r="O24" i="17"/>
  <c r="O30" i="17" s="1"/>
  <c r="O34" i="17"/>
  <c r="Q24" i="17"/>
  <c r="Q30" i="17" s="1"/>
  <c r="Q34" i="17"/>
  <c r="P19" i="17"/>
  <c r="P20" i="17"/>
  <c r="R12" i="17"/>
  <c r="U38" i="18"/>
  <c r="U39" i="18" s="1"/>
  <c r="Z25" i="18"/>
  <c r="Z16" i="18"/>
  <c r="Z18" i="18" s="1"/>
  <c r="Z22" i="18"/>
  <c r="X20" i="18"/>
  <c r="X16" i="18" s="1"/>
  <c r="X40" i="18" s="1"/>
  <c r="X44" i="18" s="1"/>
  <c r="X27" i="18"/>
  <c r="X24" i="18"/>
  <c r="V28" i="18"/>
  <c r="V34" i="18" s="1"/>
  <c r="V29" i="18"/>
  <c r="V35" i="18" s="1"/>
  <c r="P12" i="17"/>
  <c r="P17" i="17"/>
  <c r="R13" i="17"/>
  <c r="R14" i="17" s="1"/>
  <c r="R15" i="17" s="1"/>
  <c r="R34" i="17" s="1"/>
  <c r="V20" i="15"/>
  <c r="F37" i="15"/>
  <c r="B30" i="15"/>
  <c r="A30" i="15" s="1"/>
  <c r="B29" i="15"/>
  <c r="A29" i="15"/>
  <c r="U26" i="15"/>
  <c r="V26" i="15" s="1"/>
  <c r="W26" i="15" s="1"/>
  <c r="X23" i="15" s="1"/>
  <c r="X25" i="15" s="1"/>
  <c r="U25" i="15"/>
  <c r="Z23" i="15"/>
  <c r="B23" i="15"/>
  <c r="A23" i="15"/>
  <c r="V22" i="15"/>
  <c r="V25" i="15" s="1"/>
  <c r="W25" i="15" s="1"/>
  <c r="B22" i="15"/>
  <c r="A22" i="15" s="1"/>
  <c r="B21" i="15"/>
  <c r="A21" i="15" s="1"/>
  <c r="V16" i="15"/>
  <c r="U19" i="15"/>
  <c r="U20" i="15" s="1"/>
  <c r="B16" i="15"/>
  <c r="A16" i="15"/>
  <c r="B15" i="15"/>
  <c r="A15" i="15" s="1"/>
  <c r="B12" i="15"/>
  <c r="A12" i="15" s="1"/>
  <c r="B11" i="15"/>
  <c r="A11" i="15" s="1"/>
  <c r="X10" i="15"/>
  <c r="W10" i="15"/>
  <c r="W19" i="15" s="1"/>
  <c r="V10" i="15"/>
  <c r="B9" i="15"/>
  <c r="A9" i="15" s="1"/>
  <c r="B8" i="15"/>
  <c r="A8" i="15"/>
  <c r="U10" i="15" s="1"/>
  <c r="B7" i="15"/>
  <c r="A7" i="15" s="1"/>
  <c r="B6" i="15"/>
  <c r="A6" i="15"/>
  <c r="AZ25" i="13"/>
  <c r="AE21" i="13"/>
  <c r="AE12" i="13"/>
  <c r="AE6" i="13"/>
  <c r="AE4" i="13"/>
  <c r="AE3" i="13"/>
  <c r="BB40" i="13" s="1"/>
  <c r="BB54" i="13" s="1"/>
  <c r="AE3" i="8"/>
  <c r="X43" i="13"/>
  <c r="V20" i="13"/>
  <c r="A21" i="13"/>
  <c r="A22" i="13"/>
  <c r="A23" i="13"/>
  <c r="A29" i="13"/>
  <c r="AY17" i="13" s="1"/>
  <c r="A30" i="13"/>
  <c r="B30" i="13"/>
  <c r="B29" i="13"/>
  <c r="B23" i="13"/>
  <c r="B22" i="13"/>
  <c r="B21" i="13"/>
  <c r="B12" i="13"/>
  <c r="A12" i="13" s="1"/>
  <c r="V16" i="13" s="1"/>
  <c r="B11" i="13"/>
  <c r="B9" i="13"/>
  <c r="B8" i="13"/>
  <c r="B7" i="13"/>
  <c r="A7" i="13" s="1"/>
  <c r="B6" i="13"/>
  <c r="A6" i="13" s="1"/>
  <c r="A9" i="13"/>
  <c r="X11" i="13" s="1"/>
  <c r="A8" i="13"/>
  <c r="W10" i="13" s="1"/>
  <c r="W19" i="13" s="1"/>
  <c r="W20" i="13" s="1"/>
  <c r="W21" i="13" s="1"/>
  <c r="A11" i="13"/>
  <c r="A15" i="13"/>
  <c r="B15" i="13"/>
  <c r="A16" i="13"/>
  <c r="B16" i="13"/>
  <c r="AZ49" i="13"/>
  <c r="BC42" i="13"/>
  <c r="BB42" i="13"/>
  <c r="AZ42" i="13"/>
  <c r="F37" i="13"/>
  <c r="AZ27" i="13"/>
  <c r="U26" i="13"/>
  <c r="U25" i="13"/>
  <c r="Z23" i="13"/>
  <c r="V22" i="13"/>
  <c r="AE19" i="13"/>
  <c r="Z17" i="13"/>
  <c r="AW7" i="13"/>
  <c r="A59" i="11"/>
  <c r="A51" i="11"/>
  <c r="A48" i="11"/>
  <c r="A54" i="11" s="1"/>
  <c r="A56" i="11" s="1"/>
  <c r="A39" i="11"/>
  <c r="A31" i="11"/>
  <c r="A28" i="11"/>
  <c r="A34" i="11" s="1"/>
  <c r="A36" i="11" s="1"/>
  <c r="H21" i="11"/>
  <c r="H17" i="11"/>
  <c r="AC13" i="11"/>
  <c r="AD13" i="11" s="1"/>
  <c r="AB13" i="11"/>
  <c r="AB12" i="11"/>
  <c r="AC12" i="11" s="1"/>
  <c r="AD12" i="11" s="1"/>
  <c r="AC11" i="11"/>
  <c r="AD11" i="11" s="1"/>
  <c r="AB11" i="11"/>
  <c r="V50" i="10"/>
  <c r="V52" i="10" s="1"/>
  <c r="F38" i="10"/>
  <c r="W32" i="10"/>
  <c r="W34" i="10" s="1"/>
  <c r="V32" i="10"/>
  <c r="V34" i="10" s="1"/>
  <c r="B30" i="10"/>
  <c r="A29" i="10"/>
  <c r="Z29" i="10" s="1"/>
  <c r="U28" i="10"/>
  <c r="U30" i="10" s="1"/>
  <c r="U27" i="10"/>
  <c r="A27" i="10"/>
  <c r="U26" i="10"/>
  <c r="V26" i="10" s="1"/>
  <c r="W26" i="10" s="1"/>
  <c r="U25" i="10"/>
  <c r="Z24" i="10"/>
  <c r="B24" i="10"/>
  <c r="V23" i="10"/>
  <c r="V27" i="10" s="1"/>
  <c r="W27" i="10" s="1"/>
  <c r="X24" i="10" s="1"/>
  <c r="B23" i="10"/>
  <c r="B22" i="10"/>
  <c r="V21" i="10"/>
  <c r="W20" i="10"/>
  <c r="W25" i="10" s="1"/>
  <c r="U20" i="10"/>
  <c r="U21" i="10" s="1"/>
  <c r="U22" i="10" s="1"/>
  <c r="V19" i="10"/>
  <c r="U19" i="10"/>
  <c r="U50" i="10" s="1"/>
  <c r="U52" i="10" s="1"/>
  <c r="Z18" i="10"/>
  <c r="W17" i="10"/>
  <c r="V17" i="10"/>
  <c r="U17" i="10"/>
  <c r="B17" i="10"/>
  <c r="B16" i="10"/>
  <c r="A14" i="10"/>
  <c r="X13" i="10"/>
  <c r="X14" i="10" s="1"/>
  <c r="B13" i="10"/>
  <c r="X12" i="10"/>
  <c r="W12" i="10"/>
  <c r="V12" i="10"/>
  <c r="U12" i="10"/>
  <c r="X11" i="10"/>
  <c r="W11" i="10"/>
  <c r="V11" i="10"/>
  <c r="U11" i="10"/>
  <c r="A11" i="10"/>
  <c r="W13" i="10" s="1"/>
  <c r="W14" i="10" s="1"/>
  <c r="X10" i="10"/>
  <c r="W10" i="10"/>
  <c r="V10" i="10"/>
  <c r="U10" i="10"/>
  <c r="X15" i="10" s="1"/>
  <c r="B10" i="10"/>
  <c r="B9" i="10"/>
  <c r="B8" i="10"/>
  <c r="B7" i="10"/>
  <c r="AX28" i="20" l="1"/>
  <c r="AE47" i="20"/>
  <c r="AW29" i="20" s="1"/>
  <c r="AW30" i="20" s="1"/>
  <c r="AE54" i="20"/>
  <c r="AE55" i="20" s="1"/>
  <c r="BD49" i="23"/>
  <c r="AX30" i="23"/>
  <c r="AX27" i="23" s="1"/>
  <c r="AX35" i="23" s="1"/>
  <c r="AZ18" i="23"/>
  <c r="AZ19" i="23" s="1"/>
  <c r="AZ10" i="23" s="1"/>
  <c r="AZ34" i="23"/>
  <c r="AZ35" i="23"/>
  <c r="BC51" i="23"/>
  <c r="BA40" i="23"/>
  <c r="BA44" i="23"/>
  <c r="BA46" i="23" s="1"/>
  <c r="BA48" i="23" s="1"/>
  <c r="V51" i="18"/>
  <c r="V47" i="18"/>
  <c r="V52" i="18" s="1"/>
  <c r="AE13" i="18" s="1"/>
  <c r="AE30" i="18" s="1"/>
  <c r="BC52" i="18" s="1"/>
  <c r="V49" i="18"/>
  <c r="V36" i="18"/>
  <c r="V37" i="18" s="1"/>
  <c r="V38" i="18" s="1"/>
  <c r="V39" i="18" s="1"/>
  <c r="V38" i="20"/>
  <c r="V39" i="20" s="1"/>
  <c r="V44" i="20"/>
  <c r="V45" i="20"/>
  <c r="AX13" i="20"/>
  <c r="AX10" i="20" s="1"/>
  <c r="AX23" i="20" s="1"/>
  <c r="AZ32" i="20"/>
  <c r="AZ33" i="20"/>
  <c r="AX29" i="20"/>
  <c r="AZ22" i="20"/>
  <c r="AZ17" i="20"/>
  <c r="BA43" i="20"/>
  <c r="Q29" i="17"/>
  <c r="Q33" i="17" s="1"/>
  <c r="Q28" i="17"/>
  <c r="O28" i="17"/>
  <c r="O29" i="17"/>
  <c r="O33" i="17" s="1"/>
  <c r="R29" i="17"/>
  <c r="Q27" i="17"/>
  <c r="Q32" i="17" s="1"/>
  <c r="O27" i="17"/>
  <c r="O32" i="17" s="1"/>
  <c r="P22" i="17"/>
  <c r="P23" i="17"/>
  <c r="P27" i="17" s="1"/>
  <c r="P32" i="17" s="1"/>
  <c r="P34" i="17"/>
  <c r="X29" i="18"/>
  <c r="X35" i="18" s="1"/>
  <c r="X28" i="18"/>
  <c r="X34" i="18" s="1"/>
  <c r="X18" i="18"/>
  <c r="X21" i="18"/>
  <c r="X30" i="18" s="1"/>
  <c r="Z27" i="18"/>
  <c r="Z33" i="18" s="1"/>
  <c r="Z34" i="18" s="1"/>
  <c r="Z26" i="18"/>
  <c r="Z32" i="18" s="1"/>
  <c r="BC45" i="13"/>
  <c r="R24" i="17"/>
  <c r="R30" i="17" s="1"/>
  <c r="V18" i="15"/>
  <c r="X9" i="15"/>
  <c r="W9" i="15"/>
  <c r="V9" i="15"/>
  <c r="U16" i="15"/>
  <c r="A28" i="15"/>
  <c r="X11" i="15"/>
  <c r="W11" i="15"/>
  <c r="V11" i="15"/>
  <c r="U11" i="15"/>
  <c r="W16" i="15"/>
  <c r="A10" i="15"/>
  <c r="U9" i="15"/>
  <c r="X14" i="15" s="1"/>
  <c r="X17" i="15"/>
  <c r="W24" i="15"/>
  <c r="W20" i="15"/>
  <c r="W21" i="15" s="1"/>
  <c r="Z17" i="15"/>
  <c r="U21" i="15"/>
  <c r="V19" i="15"/>
  <c r="U24" i="15"/>
  <c r="AZ7" i="13"/>
  <c r="BC40" i="13"/>
  <c r="AE11" i="13"/>
  <c r="AW27" i="13"/>
  <c r="AW35" i="13" s="1"/>
  <c r="AY27" i="13"/>
  <c r="AY35" i="13" s="1"/>
  <c r="AG51" i="13"/>
  <c r="AX7" i="13"/>
  <c r="AZ40" i="13"/>
  <c r="AZ54" i="13" s="1"/>
  <c r="AY7" i="13"/>
  <c r="AZ8" i="13" s="1"/>
  <c r="V25" i="13"/>
  <c r="W25" i="13" s="1"/>
  <c r="V26" i="13"/>
  <c r="W26" i="13" s="1"/>
  <c r="X23" i="13" s="1"/>
  <c r="X25" i="13" s="1"/>
  <c r="BA49" i="13"/>
  <c r="AW17" i="13"/>
  <c r="BB49" i="13"/>
  <c r="AX17" i="13"/>
  <c r="X17" i="13"/>
  <c r="AZ45" i="13"/>
  <c r="A28" i="13"/>
  <c r="X31" i="13" s="1"/>
  <c r="BB45" i="13"/>
  <c r="U11" i="13"/>
  <c r="V11" i="13"/>
  <c r="W11" i="13"/>
  <c r="A10" i="13"/>
  <c r="V12" i="13" s="1"/>
  <c r="V13" i="13" s="1"/>
  <c r="X10" i="13"/>
  <c r="U10" i="13"/>
  <c r="V10" i="13"/>
  <c r="U19" i="13"/>
  <c r="U24" i="13" s="1"/>
  <c r="U16" i="13"/>
  <c r="U18" i="13" s="1"/>
  <c r="V9" i="13"/>
  <c r="U9" i="13"/>
  <c r="AE8" i="13"/>
  <c r="AY12" i="13" s="1"/>
  <c r="AY13" i="13" s="1"/>
  <c r="AY10" i="13" s="1"/>
  <c r="AY23" i="13" s="1"/>
  <c r="AE9" i="13"/>
  <c r="W16" i="13"/>
  <c r="W18" i="13" s="1"/>
  <c r="W49" i="13" s="1"/>
  <c r="W51" i="13" s="1"/>
  <c r="X9" i="13"/>
  <c r="W9" i="13"/>
  <c r="AE7" i="13"/>
  <c r="AE18" i="13" s="1"/>
  <c r="AE23" i="13"/>
  <c r="U31" i="13"/>
  <c r="A31" i="13"/>
  <c r="W31" i="13"/>
  <c r="Y57" i="13"/>
  <c r="X12" i="13"/>
  <c r="X13" i="13" s="1"/>
  <c r="W12" i="13"/>
  <c r="W13" i="13" s="1"/>
  <c r="A13" i="13"/>
  <c r="V31" i="13"/>
  <c r="W24" i="13"/>
  <c r="V18" i="13"/>
  <c r="A29" i="11"/>
  <c r="A41" i="11" s="1"/>
  <c r="A32" i="11"/>
  <c r="A52" i="11"/>
  <c r="A49" i="11"/>
  <c r="A61" i="11" s="1"/>
  <c r="X20" i="10"/>
  <c r="Z20" i="10"/>
  <c r="X26" i="10"/>
  <c r="X18" i="10"/>
  <c r="Z30" i="10"/>
  <c r="Z32" i="10"/>
  <c r="Y56" i="10"/>
  <c r="Y57" i="10" s="1"/>
  <c r="U13" i="10"/>
  <c r="U14" i="10" s="1"/>
  <c r="W21" i="10"/>
  <c r="V33" i="10"/>
  <c r="V13" i="10"/>
  <c r="V14" i="10" s="1"/>
  <c r="A15" i="10"/>
  <c r="U31" i="10" s="1"/>
  <c r="U29" i="10"/>
  <c r="A32" i="10"/>
  <c r="W33" i="10"/>
  <c r="V20" i="10"/>
  <c r="U32" i="10"/>
  <c r="W22" i="10"/>
  <c r="W31" i="10" s="1"/>
  <c r="W28" i="10"/>
  <c r="X32" i="10"/>
  <c r="W19" i="10"/>
  <c r="W50" i="10" s="1"/>
  <c r="W52" i="10" s="1"/>
  <c r="Y58" i="10"/>
  <c r="V22" i="8"/>
  <c r="U30" i="8"/>
  <c r="AX7" i="8"/>
  <c r="AX17" i="8"/>
  <c r="U21" i="8"/>
  <c r="U20" i="8"/>
  <c r="V50" i="18" l="1"/>
  <c r="X45" i="18"/>
  <c r="X46" i="18" s="1"/>
  <c r="X47" i="18" s="1"/>
  <c r="AY29" i="20"/>
  <c r="AY30" i="20" s="1"/>
  <c r="AZ29" i="20"/>
  <c r="AZ30" i="20" s="1"/>
  <c r="AE48" i="20"/>
  <c r="AE49" i="20" s="1"/>
  <c r="AX31" i="20"/>
  <c r="AX30" i="20" s="1"/>
  <c r="AX27" i="20" s="1"/>
  <c r="AX35" i="20" s="1"/>
  <c r="AZ36" i="20" s="1"/>
  <c r="BA42" i="20"/>
  <c r="BD49" i="20" s="1"/>
  <c r="AZ36" i="23"/>
  <c r="BC53" i="23"/>
  <c r="BC54" i="23"/>
  <c r="BA50" i="23"/>
  <c r="BA54" i="23"/>
  <c r="AZ12" i="23"/>
  <c r="AZ23" i="23"/>
  <c r="AZ24" i="23" s="1"/>
  <c r="AZ25" i="23" s="1"/>
  <c r="V53" i="18"/>
  <c r="AE34" i="18"/>
  <c r="AE37" i="18" s="1"/>
  <c r="AE46" i="18" s="1"/>
  <c r="AE54" i="18" s="1"/>
  <c r="AE55" i="18" s="1"/>
  <c r="AX11" i="18"/>
  <c r="AX14" i="18" s="1"/>
  <c r="X36" i="18"/>
  <c r="X37" i="18" s="1"/>
  <c r="AZ18" i="20"/>
  <c r="AZ19" i="20" s="1"/>
  <c r="AZ10" i="20" s="1"/>
  <c r="BA44" i="20"/>
  <c r="BA46" i="20" s="1"/>
  <c r="BA48" i="20" s="1"/>
  <c r="BA40" i="20"/>
  <c r="AZ34" i="20"/>
  <c r="AZ35" i="20"/>
  <c r="R28" i="17"/>
  <c r="R33" i="17"/>
  <c r="S30" i="17"/>
  <c r="P28" i="17"/>
  <c r="P29" i="17"/>
  <c r="P33" i="17" s="1"/>
  <c r="P35" i="17" s="1"/>
  <c r="R27" i="17"/>
  <c r="R32" i="17" s="1"/>
  <c r="W30" i="15"/>
  <c r="Z19" i="15"/>
  <c r="X19" i="15"/>
  <c r="V24" i="15"/>
  <c r="V27" i="15"/>
  <c r="V21" i="15"/>
  <c r="V30" i="15" s="1"/>
  <c r="X12" i="15"/>
  <c r="X13" i="15" s="1"/>
  <c r="V12" i="15"/>
  <c r="V13" i="15" s="1"/>
  <c r="W12" i="15"/>
  <c r="W13" i="15" s="1"/>
  <c r="A13" i="15"/>
  <c r="U12" i="15"/>
  <c r="U13" i="15" s="1"/>
  <c r="A14" i="15"/>
  <c r="U30" i="15"/>
  <c r="V31" i="15"/>
  <c r="X31" i="15"/>
  <c r="W31" i="15"/>
  <c r="U27" i="15"/>
  <c r="A31" i="15"/>
  <c r="Z28" i="15"/>
  <c r="U31" i="15"/>
  <c r="V49" i="15"/>
  <c r="V51" i="15" s="1"/>
  <c r="W18" i="15"/>
  <c r="W49" i="15" s="1"/>
  <c r="W51" i="15" s="1"/>
  <c r="W27" i="15"/>
  <c r="Y57" i="15"/>
  <c r="U18" i="15"/>
  <c r="AY15" i="13"/>
  <c r="AY20" i="13" s="1"/>
  <c r="W27" i="13"/>
  <c r="Z28" i="13"/>
  <c r="Z29" i="13" s="1"/>
  <c r="AW12" i="13"/>
  <c r="A14" i="13"/>
  <c r="W30" i="13" s="1"/>
  <c r="AZ43" i="13"/>
  <c r="AZ44" i="13" s="1"/>
  <c r="AZ46" i="13" s="1"/>
  <c r="AZ48" i="13" s="1"/>
  <c r="U12" i="13"/>
  <c r="U13" i="13" s="1"/>
  <c r="U20" i="13"/>
  <c r="U21" i="13" s="1"/>
  <c r="U30" i="13" s="1"/>
  <c r="U27" i="13"/>
  <c r="V19" i="13"/>
  <c r="V27" i="13" s="1"/>
  <c r="X14" i="13"/>
  <c r="BC43" i="13"/>
  <c r="BC44" i="13" s="1"/>
  <c r="BC46" i="13" s="1"/>
  <c r="BC48" i="13" s="1"/>
  <c r="V49" i="13"/>
  <c r="V51" i="13" s="1"/>
  <c r="BB43" i="13"/>
  <c r="BB44" i="13" s="1"/>
  <c r="BB46" i="13" s="1"/>
  <c r="BB48" i="13" s="1"/>
  <c r="V24" i="13"/>
  <c r="X33" i="13"/>
  <c r="X32" i="13"/>
  <c r="U29" i="13"/>
  <c r="Z31" i="13"/>
  <c r="W32" i="13"/>
  <c r="W33" i="13"/>
  <c r="U32" i="13"/>
  <c r="U33" i="13"/>
  <c r="AW13" i="13"/>
  <c r="AW10" i="13" s="1"/>
  <c r="AW23" i="13" s="1"/>
  <c r="AW15" i="13"/>
  <c r="AW20" i="13" s="1"/>
  <c r="AE33" i="13"/>
  <c r="AX19" i="13"/>
  <c r="AW19" i="13"/>
  <c r="AY19" i="13"/>
  <c r="AE40" i="13"/>
  <c r="AE41" i="13" s="1"/>
  <c r="Z19" i="13"/>
  <c r="X19" i="13"/>
  <c r="V32" i="13"/>
  <c r="Y55" i="13"/>
  <c r="Y56" i="13" s="1"/>
  <c r="V33" i="13"/>
  <c r="U49" i="13"/>
  <c r="U51" i="13" s="1"/>
  <c r="W28" i="13"/>
  <c r="W29" i="13"/>
  <c r="X34" i="10"/>
  <c r="X33" i="10"/>
  <c r="V25" i="10"/>
  <c r="V28" i="10"/>
  <c r="V22" i="10"/>
  <c r="V31" i="10" s="1"/>
  <c r="V47" i="10" s="1"/>
  <c r="W29" i="10"/>
  <c r="W30" i="10"/>
  <c r="W36" i="10" s="1"/>
  <c r="Z26" i="10"/>
  <c r="Z23" i="10"/>
  <c r="Z17" i="10"/>
  <c r="Z19" i="10" s="1"/>
  <c r="U46" i="10"/>
  <c r="X28" i="10"/>
  <c r="X22" i="10"/>
  <c r="X31" i="10" s="1"/>
  <c r="X21" i="10"/>
  <c r="X17" i="10" s="1"/>
  <c r="X25" i="10"/>
  <c r="U33" i="10"/>
  <c r="U35" i="10" s="1"/>
  <c r="U34" i="10"/>
  <c r="U36" i="10" s="1"/>
  <c r="U37" i="10" s="1"/>
  <c r="U38" i="10" s="1"/>
  <c r="B16" i="8"/>
  <c r="AG51" i="8"/>
  <c r="AY35" i="8"/>
  <c r="X31" i="8"/>
  <c r="X32" i="8" s="1"/>
  <c r="U31" i="8"/>
  <c r="U33" i="8" s="1"/>
  <c r="B29" i="8"/>
  <c r="A28" i="8"/>
  <c r="W31" i="8" s="1"/>
  <c r="AZ27" i="8"/>
  <c r="AY27" i="8"/>
  <c r="AW27" i="8"/>
  <c r="AW35" i="8" s="1"/>
  <c r="U26" i="8"/>
  <c r="V26" i="8" s="1"/>
  <c r="W26" i="8" s="1"/>
  <c r="X23" i="8" s="1"/>
  <c r="A26" i="8"/>
  <c r="U25" i="8" s="1"/>
  <c r="Z23" i="8"/>
  <c r="B23" i="8"/>
  <c r="V31" i="8"/>
  <c r="B22" i="8"/>
  <c r="AE19" i="8"/>
  <c r="AE21" i="8" s="1"/>
  <c r="U19" i="8"/>
  <c r="U24" i="8" s="1"/>
  <c r="B21" i="8"/>
  <c r="W18" i="8"/>
  <c r="W49" i="8" s="1"/>
  <c r="W51" i="8" s="1"/>
  <c r="Z17" i="8"/>
  <c r="W16" i="8"/>
  <c r="U16" i="8"/>
  <c r="AY17" i="8"/>
  <c r="AW17" i="8"/>
  <c r="B15" i="8"/>
  <c r="A14" i="8"/>
  <c r="A13" i="8"/>
  <c r="AE12" i="8"/>
  <c r="X10" i="8"/>
  <c r="X11" i="8" s="1"/>
  <c r="W10" i="8"/>
  <c r="W11" i="8" s="1"/>
  <c r="V10" i="8"/>
  <c r="V11" i="8" s="1"/>
  <c r="U10" i="8"/>
  <c r="U11" i="8" s="1"/>
  <c r="B12" i="8"/>
  <c r="AE11" i="8"/>
  <c r="X9" i="8"/>
  <c r="W9" i="8"/>
  <c r="V9" i="8"/>
  <c r="U9" i="8"/>
  <c r="X8" i="8"/>
  <c r="W8" i="8"/>
  <c r="W19" i="8" s="1"/>
  <c r="V8" i="8"/>
  <c r="U8" i="8"/>
  <c r="A10" i="8"/>
  <c r="AE9" i="8"/>
  <c r="X7" i="8"/>
  <c r="W7" i="8"/>
  <c r="V7" i="8"/>
  <c r="U7" i="8"/>
  <c r="X13" i="8" s="1"/>
  <c r="B9" i="8"/>
  <c r="AE8" i="8"/>
  <c r="B8" i="8"/>
  <c r="AZ7" i="8"/>
  <c r="AY7" i="8"/>
  <c r="AZ8" i="8" s="1"/>
  <c r="AW7" i="8"/>
  <c r="B7" i="8"/>
  <c r="AE6" i="8"/>
  <c r="AE4" i="8" s="1"/>
  <c r="B6" i="8"/>
  <c r="BA45" i="20" l="1"/>
  <c r="BC47" i="20" s="1"/>
  <c r="BC49" i="20" s="1"/>
  <c r="BC51" i="20"/>
  <c r="AZ15" i="23"/>
  <c r="AZ20" i="23" s="1"/>
  <c r="AZ13" i="23"/>
  <c r="BC55" i="23"/>
  <c r="AZ21" i="18"/>
  <c r="AZ16" i="18"/>
  <c r="AZ17" i="18" s="1"/>
  <c r="AZ18" i="18" s="1"/>
  <c r="AZ19" i="18" s="1"/>
  <c r="AZ10" i="18" s="1"/>
  <c r="AX12" i="18"/>
  <c r="AX15" i="18" s="1"/>
  <c r="AX20" i="18" s="1"/>
  <c r="BA41" i="18"/>
  <c r="AX28" i="18"/>
  <c r="AE47" i="18"/>
  <c r="AZ12" i="20"/>
  <c r="AZ23" i="20"/>
  <c r="AZ24" i="20" s="1"/>
  <c r="AZ25" i="20" s="1"/>
  <c r="BA50" i="20"/>
  <c r="BA54" i="20"/>
  <c r="BC50" i="13"/>
  <c r="W20" i="8"/>
  <c r="W21" i="8" s="1"/>
  <c r="W30" i="8" s="1"/>
  <c r="X32" i="15"/>
  <c r="X33" i="15"/>
  <c r="V32" i="15"/>
  <c r="Y55" i="15"/>
  <c r="Y56" i="15" s="1"/>
  <c r="V33" i="15"/>
  <c r="V35" i="15" s="1"/>
  <c r="U49" i="15"/>
  <c r="U51" i="15" s="1"/>
  <c r="V46" i="15"/>
  <c r="U33" i="15"/>
  <c r="U32" i="15"/>
  <c r="V29" i="15"/>
  <c r="V28" i="15"/>
  <c r="Z31" i="15"/>
  <c r="Z29" i="15"/>
  <c r="W28" i="15"/>
  <c r="W29" i="15"/>
  <c r="X27" i="15"/>
  <c r="X20" i="15"/>
  <c r="X16" i="15" s="1"/>
  <c r="X24" i="15"/>
  <c r="X21" i="15"/>
  <c r="X30" i="15" s="1"/>
  <c r="Z25" i="15"/>
  <c r="Z16" i="15"/>
  <c r="Z18" i="15" s="1"/>
  <c r="Z22" i="15"/>
  <c r="U29" i="15"/>
  <c r="U28" i="15"/>
  <c r="W33" i="15"/>
  <c r="W35" i="15" s="1"/>
  <c r="W36" i="15" s="1"/>
  <c r="W37" i="15" s="1"/>
  <c r="W38" i="15" s="1"/>
  <c r="W39" i="15" s="1"/>
  <c r="W32" i="15"/>
  <c r="W34" i="15" s="1"/>
  <c r="AY12" i="8"/>
  <c r="AY13" i="8" s="1"/>
  <c r="AY10" i="8" s="1"/>
  <c r="AY23" i="8" s="1"/>
  <c r="AW12" i="8"/>
  <c r="AW13" i="8" s="1"/>
  <c r="AW10" i="8" s="1"/>
  <c r="AW23" i="8" s="1"/>
  <c r="V21" i="13"/>
  <c r="V30" i="13" s="1"/>
  <c r="V46" i="13" s="1"/>
  <c r="AE13" i="13" s="1"/>
  <c r="AE30" i="13" s="1"/>
  <c r="AZ50" i="13"/>
  <c r="U28" i="13"/>
  <c r="BB50" i="13"/>
  <c r="U34" i="13"/>
  <c r="AE42" i="13"/>
  <c r="AE45" i="13"/>
  <c r="U35" i="13"/>
  <c r="W35" i="13"/>
  <c r="W34" i="13"/>
  <c r="V28" i="13"/>
  <c r="V29" i="13"/>
  <c r="V35" i="13" s="1"/>
  <c r="X27" i="13"/>
  <c r="X24" i="13"/>
  <c r="X20" i="13"/>
  <c r="X16" i="13" s="1"/>
  <c r="Z16" i="13"/>
  <c r="Z18" i="13" s="1"/>
  <c r="Z22" i="13"/>
  <c r="Z25" i="13"/>
  <c r="X29" i="10"/>
  <c r="X30" i="10"/>
  <c r="X36" i="10" s="1"/>
  <c r="X37" i="10" s="1"/>
  <c r="X38" i="10" s="1"/>
  <c r="W46" i="10"/>
  <c r="X35" i="10"/>
  <c r="U39" i="10"/>
  <c r="U40" i="10" s="1"/>
  <c r="U45" i="10"/>
  <c r="W35" i="10"/>
  <c r="Z28" i="10"/>
  <c r="Z34" i="10" s="1"/>
  <c r="Z27" i="10"/>
  <c r="Z33" i="10" s="1"/>
  <c r="Y59" i="10"/>
  <c r="Y60" i="10" s="1"/>
  <c r="X19" i="10"/>
  <c r="V29" i="10"/>
  <c r="V30" i="10"/>
  <c r="V36" i="10" s="1"/>
  <c r="W37" i="10"/>
  <c r="W38" i="10" s="1"/>
  <c r="A31" i="8"/>
  <c r="AE7" i="8"/>
  <c r="AE18" i="8" s="1"/>
  <c r="AE23" i="8" s="1"/>
  <c r="AX19" i="8" s="1"/>
  <c r="U32" i="8"/>
  <c r="V25" i="8"/>
  <c r="W25" i="8" s="1"/>
  <c r="Y55" i="8"/>
  <c r="Y56" i="8" s="1"/>
  <c r="V33" i="8"/>
  <c r="V32" i="8"/>
  <c r="X25" i="8"/>
  <c r="X17" i="8"/>
  <c r="W27" i="8"/>
  <c r="W24" i="8"/>
  <c r="W32" i="8"/>
  <c r="W33" i="8"/>
  <c r="U18" i="8"/>
  <c r="U27" i="8"/>
  <c r="Z28" i="8"/>
  <c r="V30" i="8"/>
  <c r="X33" i="8"/>
  <c r="W35" i="5"/>
  <c r="V35" i="5"/>
  <c r="U35" i="5"/>
  <c r="X34" i="5"/>
  <c r="W34" i="5"/>
  <c r="V34" i="5"/>
  <c r="U34" i="5"/>
  <c r="X40" i="5"/>
  <c r="W40" i="5"/>
  <c r="V40" i="5"/>
  <c r="U40" i="5"/>
  <c r="X38" i="5"/>
  <c r="W38" i="5"/>
  <c r="V38" i="5"/>
  <c r="U38" i="5"/>
  <c r="Y45" i="5"/>
  <c r="V16" i="5"/>
  <c r="V18" i="5"/>
  <c r="AY30" i="5"/>
  <c r="AY15" i="5"/>
  <c r="AX15" i="5"/>
  <c r="AW15" i="5"/>
  <c r="AZ24" i="5"/>
  <c r="AY24" i="5"/>
  <c r="AW24" i="5"/>
  <c r="AW30" i="5" s="1"/>
  <c r="AG51" i="5"/>
  <c r="B15" i="5"/>
  <c r="AE12" i="5"/>
  <c r="AE6" i="5"/>
  <c r="H23" i="4"/>
  <c r="BB49" i="5"/>
  <c r="BA49" i="5"/>
  <c r="AZ49" i="5"/>
  <c r="H19" i="4"/>
  <c r="BC42" i="5"/>
  <c r="BC45" i="5" s="1"/>
  <c r="BB42" i="5"/>
  <c r="BB45" i="5" s="1"/>
  <c r="AZ42" i="5"/>
  <c r="AZ45" i="5" s="1"/>
  <c r="BC40" i="5"/>
  <c r="BB40" i="5"/>
  <c r="BB54" i="5" s="1"/>
  <c r="AZ40" i="5"/>
  <c r="AZ54" i="5" s="1"/>
  <c r="AE11" i="5"/>
  <c r="BC55" i="20" l="1"/>
  <c r="BC53" i="20"/>
  <c r="BC54" i="20"/>
  <c r="AZ22" i="18"/>
  <c r="AX13" i="18"/>
  <c r="AX10" i="18" s="1"/>
  <c r="AX23" i="18" s="1"/>
  <c r="AX31" i="18"/>
  <c r="AZ33" i="18"/>
  <c r="AX29" i="18"/>
  <c r="AZ32" i="18"/>
  <c r="AE48" i="18"/>
  <c r="AE49" i="18" s="1"/>
  <c r="AY29" i="18"/>
  <c r="AY30" i="18" s="1"/>
  <c r="AW29" i="18"/>
  <c r="AW30" i="18" s="1"/>
  <c r="AZ29" i="18"/>
  <c r="AZ30" i="18" s="1"/>
  <c r="BA43" i="18"/>
  <c r="BA42" i="18"/>
  <c r="BD49" i="18" s="1"/>
  <c r="AZ12" i="18"/>
  <c r="AZ23" i="18"/>
  <c r="AZ13" i="20"/>
  <c r="AZ15" i="20"/>
  <c r="AZ20" i="20" s="1"/>
  <c r="W44" i="15"/>
  <c r="Z33" i="15"/>
  <c r="Y58" i="15"/>
  <c r="Y59" i="15" s="1"/>
  <c r="X18" i="15"/>
  <c r="V34" i="15"/>
  <c r="W45" i="15"/>
  <c r="U35" i="15"/>
  <c r="U36" i="15" s="1"/>
  <c r="U37" i="15" s="1"/>
  <c r="X35" i="15"/>
  <c r="Z27" i="15"/>
  <c r="Z26" i="15"/>
  <c r="Z32" i="15"/>
  <c r="V36" i="15"/>
  <c r="V37" i="15" s="1"/>
  <c r="V45" i="15"/>
  <c r="X29" i="15"/>
  <c r="X28" i="15"/>
  <c r="X34" i="15" s="1"/>
  <c r="U34" i="15"/>
  <c r="U36" i="13"/>
  <c r="U37" i="13" s="1"/>
  <c r="U45" i="13" s="1"/>
  <c r="Y58" i="13"/>
  <c r="Y59" i="13" s="1"/>
  <c r="X18" i="13"/>
  <c r="V34" i="13"/>
  <c r="V36" i="13" s="1"/>
  <c r="V37" i="13" s="1"/>
  <c r="X21" i="13"/>
  <c r="X30" i="13" s="1"/>
  <c r="Z26" i="13"/>
  <c r="Z32" i="13" s="1"/>
  <c r="Z27" i="13"/>
  <c r="Z33" i="13" s="1"/>
  <c r="X28" i="13"/>
  <c r="X34" i="13" s="1"/>
  <c r="X29" i="13"/>
  <c r="X35" i="13" s="1"/>
  <c r="X36" i="13" s="1"/>
  <c r="X37" i="13" s="1"/>
  <c r="W36" i="13"/>
  <c r="W37" i="13" s="1"/>
  <c r="AE34" i="13"/>
  <c r="AE37" i="13" s="1"/>
  <c r="AE46" i="13" s="1"/>
  <c r="AE47" i="13" s="1"/>
  <c r="BC52" i="13"/>
  <c r="AX11" i="13"/>
  <c r="U38" i="13"/>
  <c r="U39" i="13" s="1"/>
  <c r="X50" i="10"/>
  <c r="X52" i="10" s="1"/>
  <c r="X53" i="10" s="1"/>
  <c r="X41" i="10"/>
  <c r="W39" i="10"/>
  <c r="W40" i="10" s="1"/>
  <c r="W45" i="10"/>
  <c r="Z35" i="10"/>
  <c r="V37" i="10"/>
  <c r="V38" i="10" s="1"/>
  <c r="V35" i="10"/>
  <c r="V46" i="8"/>
  <c r="AE13" i="8" s="1"/>
  <c r="AE30" i="8" s="1"/>
  <c r="AX11" i="8" s="1"/>
  <c r="AX14" i="8" s="1"/>
  <c r="AE40" i="8"/>
  <c r="AE41" i="8" s="1"/>
  <c r="AE42" i="8" s="1"/>
  <c r="AY19" i="8"/>
  <c r="AE33" i="8"/>
  <c r="AW19" i="8"/>
  <c r="U28" i="8"/>
  <c r="U34" i="8" s="1"/>
  <c r="U29" i="8"/>
  <c r="U35" i="8" s="1"/>
  <c r="U49" i="8"/>
  <c r="U51" i="8" s="1"/>
  <c r="V24" i="8"/>
  <c r="V27" i="8"/>
  <c r="Z19" i="8"/>
  <c r="X19" i="8"/>
  <c r="W28" i="8"/>
  <c r="W34" i="8" s="1"/>
  <c r="W29" i="8"/>
  <c r="W35" i="8" s="1"/>
  <c r="Z31" i="8"/>
  <c r="Z29" i="8"/>
  <c r="AE9" i="5"/>
  <c r="AE8" i="5"/>
  <c r="AE4" i="5"/>
  <c r="AE19" i="5"/>
  <c r="AE21" i="5" s="1"/>
  <c r="AY10" i="5"/>
  <c r="AY21" i="5" s="1"/>
  <c r="AW10" i="5"/>
  <c r="AW21" i="5" s="1"/>
  <c r="AZ7" i="5"/>
  <c r="AY7" i="5"/>
  <c r="AX7" i="5"/>
  <c r="AW7" i="5"/>
  <c r="AE7" i="5"/>
  <c r="AE18" i="5" s="1"/>
  <c r="Z23" i="5"/>
  <c r="Z17" i="5"/>
  <c r="U22" i="5"/>
  <c r="W18" i="5"/>
  <c r="V20" i="5"/>
  <c r="B27" i="5"/>
  <c r="B12" i="5"/>
  <c r="A26" i="5"/>
  <c r="W28" i="5" s="1"/>
  <c r="A82" i="4"/>
  <c r="A79" i="4"/>
  <c r="A77" i="4"/>
  <c r="A75" i="4"/>
  <c r="A74" i="4"/>
  <c r="A72" i="4"/>
  <c r="A71" i="4"/>
  <c r="U24" i="5"/>
  <c r="U19" i="5"/>
  <c r="V19" i="5" s="1"/>
  <c r="W16" i="5"/>
  <c r="U16" i="5"/>
  <c r="U18" i="5" s="1"/>
  <c r="X11" i="5"/>
  <c r="W11" i="5"/>
  <c r="V11" i="5"/>
  <c r="U11" i="5"/>
  <c r="X10" i="5"/>
  <c r="W10" i="5"/>
  <c r="W19" i="5" s="1"/>
  <c r="W22" i="5" s="1"/>
  <c r="Z19" i="5" s="1"/>
  <c r="Z16" i="5" s="1"/>
  <c r="V10" i="5"/>
  <c r="U10" i="5"/>
  <c r="X9" i="5"/>
  <c r="W9" i="5"/>
  <c r="V9" i="5"/>
  <c r="U9" i="5"/>
  <c r="A24" i="5"/>
  <c r="U23" i="5" s="1"/>
  <c r="B21" i="5"/>
  <c r="B20" i="5"/>
  <c r="B19" i="5"/>
  <c r="A10" i="5"/>
  <c r="W12" i="5" s="1"/>
  <c r="B9" i="5"/>
  <c r="B8" i="5"/>
  <c r="B7" i="5"/>
  <c r="B6" i="5"/>
  <c r="AD14" i="4"/>
  <c r="AB15" i="4"/>
  <c r="AC15" i="4" s="1"/>
  <c r="AD15" i="4" s="1"/>
  <c r="AB14" i="4"/>
  <c r="AC14" i="4" s="1"/>
  <c r="AB13" i="4"/>
  <c r="AC13" i="4" s="1"/>
  <c r="AD13" i="4" s="1"/>
  <c r="AZ24" i="18" l="1"/>
  <c r="AZ25" i="18" s="1"/>
  <c r="BA44" i="18"/>
  <c r="BA46" i="18" s="1"/>
  <c r="BA48" i="18" s="1"/>
  <c r="BA40" i="18"/>
  <c r="AZ35" i="18"/>
  <c r="AZ34" i="18"/>
  <c r="BA45" i="18"/>
  <c r="BC47" i="18" s="1"/>
  <c r="BC49" i="18" s="1"/>
  <c r="AX30" i="18"/>
  <c r="AX27" i="18" s="1"/>
  <c r="AX35" i="18" s="1"/>
  <c r="BC51" i="18"/>
  <c r="AZ15" i="18"/>
  <c r="AZ20" i="18" s="1"/>
  <c r="AZ13" i="18"/>
  <c r="B12" i="10"/>
  <c r="B11" i="8"/>
  <c r="B11" i="5"/>
  <c r="AE34" i="8"/>
  <c r="AE37" i="8" s="1"/>
  <c r="AX12" i="8"/>
  <c r="V38" i="15"/>
  <c r="V39" i="15" s="1"/>
  <c r="V44" i="15"/>
  <c r="U38" i="15"/>
  <c r="U39" i="15" s="1"/>
  <c r="U44" i="15"/>
  <c r="U45" i="15"/>
  <c r="Z34" i="15"/>
  <c r="X36" i="15"/>
  <c r="X37" i="15" s="1"/>
  <c r="X49" i="15"/>
  <c r="X51" i="15" s="1"/>
  <c r="X52" i="15" s="1"/>
  <c r="X40" i="15"/>
  <c r="X41" i="15" s="1"/>
  <c r="X43" i="15" s="1"/>
  <c r="AX15" i="8"/>
  <c r="AX20" i="8" s="1"/>
  <c r="AX13" i="8"/>
  <c r="AX10" i="8" s="1"/>
  <c r="AX23" i="8" s="1"/>
  <c r="U44" i="13"/>
  <c r="Z34" i="13"/>
  <c r="V38" i="13"/>
  <c r="V39" i="13" s="1"/>
  <c r="V44" i="13"/>
  <c r="V45" i="13"/>
  <c r="AE48" i="13"/>
  <c r="AE49" i="13" s="1"/>
  <c r="AW29" i="13"/>
  <c r="AW30" i="13" s="1"/>
  <c r="AZ29" i="13"/>
  <c r="AZ30" i="13" s="1"/>
  <c r="AY29" i="13"/>
  <c r="AY30" i="13" s="1"/>
  <c r="BA41" i="13"/>
  <c r="AX28" i="13"/>
  <c r="AE54" i="13"/>
  <c r="AE55" i="13" s="1"/>
  <c r="W38" i="13"/>
  <c r="W39" i="13" s="1"/>
  <c r="W44" i="13"/>
  <c r="W45" i="13"/>
  <c r="X49" i="13"/>
  <c r="X51" i="13" s="1"/>
  <c r="X52" i="13" s="1"/>
  <c r="X40" i="13"/>
  <c r="X41" i="13" s="1"/>
  <c r="AZ16" i="13"/>
  <c r="AX14" i="13"/>
  <c r="AZ21" i="13"/>
  <c r="AX12" i="13"/>
  <c r="V39" i="10"/>
  <c r="V40" i="10" s="1"/>
  <c r="V45" i="10"/>
  <c r="V46" i="10"/>
  <c r="X20" i="8"/>
  <c r="X16" i="8" s="1"/>
  <c r="U36" i="8"/>
  <c r="U37" i="8" s="1"/>
  <c r="U45" i="8" s="1"/>
  <c r="AE45" i="8"/>
  <c r="W36" i="8"/>
  <c r="W37" i="8" s="1"/>
  <c r="W45" i="8" s="1"/>
  <c r="V29" i="8"/>
  <c r="V35" i="8" s="1"/>
  <c r="V28" i="8"/>
  <c r="V34" i="8" s="1"/>
  <c r="AZ16" i="8"/>
  <c r="AZ21" i="8"/>
  <c r="X24" i="8"/>
  <c r="X27" i="8"/>
  <c r="Z25" i="8"/>
  <c r="Z22" i="8"/>
  <c r="Z16" i="8"/>
  <c r="Z18" i="8" s="1"/>
  <c r="A13" i="5"/>
  <c r="AE23" i="5"/>
  <c r="AZ8" i="5"/>
  <c r="X14" i="5"/>
  <c r="W30" i="5"/>
  <c r="W32" i="5" s="1"/>
  <c r="X28" i="5"/>
  <c r="X30" i="5"/>
  <c r="V25" i="5"/>
  <c r="V27" i="5" s="1"/>
  <c r="Z28" i="5"/>
  <c r="U25" i="5"/>
  <c r="U27" i="5" s="1"/>
  <c r="W13" i="5"/>
  <c r="W25" i="5"/>
  <c r="W27" i="5" s="1"/>
  <c r="BC43" i="5"/>
  <c r="BB43" i="5"/>
  <c r="AZ43" i="5"/>
  <c r="V28" i="5"/>
  <c r="Y43" i="5" s="1"/>
  <c r="Y44" i="5" s="1"/>
  <c r="U28" i="5"/>
  <c r="U30" i="5" s="1"/>
  <c r="U32" i="5" s="1"/>
  <c r="AE30" i="5"/>
  <c r="AX11" i="5" s="1"/>
  <c r="A14" i="5"/>
  <c r="W29" i="5" s="1"/>
  <c r="V24" i="5"/>
  <c r="W24" i="5" s="1"/>
  <c r="X21" i="5" s="1"/>
  <c r="X23" i="5" s="1"/>
  <c r="V22" i="5"/>
  <c r="Z18" i="5"/>
  <c r="Z22" i="5"/>
  <c r="Z25" i="5"/>
  <c r="Z30" i="5"/>
  <c r="X29" i="5"/>
  <c r="A29" i="5"/>
  <c r="V23" i="5"/>
  <c r="W23" i="5" s="1"/>
  <c r="X12" i="5"/>
  <c r="X13" i="5" s="1"/>
  <c r="V12" i="5"/>
  <c r="V13" i="5" s="1"/>
  <c r="U12" i="5"/>
  <c r="U13" i="5" s="1"/>
  <c r="AZ36" i="18" l="1"/>
  <c r="BC54" i="18"/>
  <c r="BC53" i="18"/>
  <c r="BA54" i="18"/>
  <c r="BA50" i="18"/>
  <c r="B31" i="10"/>
  <c r="B30" i="8"/>
  <c r="B28" i="5"/>
  <c r="AE46" i="8"/>
  <c r="AX13" i="13"/>
  <c r="AX10" i="13" s="1"/>
  <c r="AX23" i="13" s="1"/>
  <c r="AX15" i="13"/>
  <c r="AX20" i="13" s="1"/>
  <c r="AZ32" i="13"/>
  <c r="AZ33" i="13"/>
  <c r="AX31" i="13"/>
  <c r="AX29" i="13"/>
  <c r="AZ22" i="13"/>
  <c r="AZ17" i="13"/>
  <c r="BA42" i="13"/>
  <c r="BA45" i="13" s="1"/>
  <c r="BC47" i="13" s="1"/>
  <c r="BC49" i="13" s="1"/>
  <c r="BA43" i="13"/>
  <c r="X21" i="8"/>
  <c r="X30" i="8" s="1"/>
  <c r="U44" i="8"/>
  <c r="U38" i="8"/>
  <c r="U39" i="8" s="1"/>
  <c r="W44" i="8"/>
  <c r="W38" i="8"/>
  <c r="W39" i="8" s="1"/>
  <c r="Y58" i="8"/>
  <c r="X18" i="8"/>
  <c r="X49" i="8" s="1"/>
  <c r="X51" i="8" s="1"/>
  <c r="Z26" i="8"/>
  <c r="Z32" i="8" s="1"/>
  <c r="Z27" i="8"/>
  <c r="Z33" i="8" s="1"/>
  <c r="X28" i="8"/>
  <c r="X34" i="8" s="1"/>
  <c r="X29" i="8"/>
  <c r="X35" i="8" s="1"/>
  <c r="AZ22" i="8"/>
  <c r="AZ17" i="8"/>
  <c r="V36" i="8"/>
  <c r="AZ19" i="5"/>
  <c r="AZ14" i="5"/>
  <c r="AX12" i="5"/>
  <c r="AX10" i="5" s="1"/>
  <c r="AX21" i="5" s="1"/>
  <c r="AX17" i="5"/>
  <c r="AW17" i="5"/>
  <c r="AD31" i="5"/>
  <c r="AY17" i="5"/>
  <c r="BC52" i="5"/>
  <c r="BB44" i="5"/>
  <c r="BB46" i="5" s="1"/>
  <c r="BB48" i="5" s="1"/>
  <c r="BC44" i="5"/>
  <c r="BC46" i="5" s="1"/>
  <c r="BC48" i="5" s="1"/>
  <c r="U26" i="5"/>
  <c r="U31" i="5" s="1"/>
  <c r="U33" i="5" s="1"/>
  <c r="AE34" i="5"/>
  <c r="W26" i="5"/>
  <c r="W31" i="5" s="1"/>
  <c r="W33" i="5" s="1"/>
  <c r="U29" i="5"/>
  <c r="Z29" i="5"/>
  <c r="AZ44" i="5"/>
  <c r="AZ46" i="5" s="1"/>
  <c r="AZ48" i="5" s="1"/>
  <c r="V26" i="5"/>
  <c r="X19" i="5"/>
  <c r="X17" i="5"/>
  <c r="Z27" i="5"/>
  <c r="Z32" i="5" s="1"/>
  <c r="Z26" i="5"/>
  <c r="V29" i="5"/>
  <c r="V30" i="5"/>
  <c r="V32" i="5" s="1"/>
  <c r="BC55" i="18" l="1"/>
  <c r="AX28" i="8"/>
  <c r="AZ33" i="8" s="1"/>
  <c r="BA41" i="8"/>
  <c r="AE47" i="8"/>
  <c r="AE54" i="8"/>
  <c r="AE55" i="8" s="1"/>
  <c r="AX30" i="13"/>
  <c r="AX27" i="13" s="1"/>
  <c r="AX35" i="13" s="1"/>
  <c r="AZ35" i="13"/>
  <c r="AZ34" i="13"/>
  <c r="BA40" i="13"/>
  <c r="BA44" i="13"/>
  <c r="BA46" i="13" s="1"/>
  <c r="BA48" i="13" s="1"/>
  <c r="BC51" i="13"/>
  <c r="BD49" i="13"/>
  <c r="AZ18" i="13"/>
  <c r="AZ19" i="13" s="1"/>
  <c r="AZ10" i="13" s="1"/>
  <c r="X36" i="8"/>
  <c r="X37" i="8" s="1"/>
  <c r="AZ50" i="5"/>
  <c r="BB50" i="5"/>
  <c r="Z34" i="8"/>
  <c r="AY15" i="8"/>
  <c r="AY20" i="8" s="1"/>
  <c r="AW15" i="8"/>
  <c r="AW20" i="8" s="1"/>
  <c r="V31" i="5"/>
  <c r="V33" i="5" s="1"/>
  <c r="AZ15" i="5"/>
  <c r="Z31" i="5"/>
  <c r="Z33" i="5" s="1"/>
  <c r="AX13" i="5"/>
  <c r="AX18" i="5" s="1"/>
  <c r="BC50" i="5"/>
  <c r="X22" i="5"/>
  <c r="X25" i="5"/>
  <c r="X16" i="5"/>
  <c r="Y46" i="5" s="1"/>
  <c r="X18" i="5"/>
  <c r="A33" i="4"/>
  <c r="A41" i="4"/>
  <c r="A30" i="4"/>
  <c r="AZ32" i="8" l="1"/>
  <c r="AZ34" i="8" s="1"/>
  <c r="AX31" i="8"/>
  <c r="BA43" i="8"/>
  <c r="BA42" i="8"/>
  <c r="BD49" i="8" s="1"/>
  <c r="BA45" i="8"/>
  <c r="BC47" i="8" s="1"/>
  <c r="BC49" i="8" s="1"/>
  <c r="BC51" i="8"/>
  <c r="AW29" i="8"/>
  <c r="AW30" i="8" s="1"/>
  <c r="AY29" i="8"/>
  <c r="AY30" i="8" s="1"/>
  <c r="AX29" i="8"/>
  <c r="AE48" i="8"/>
  <c r="AE49" i="8" s="1"/>
  <c r="AZ29" i="8"/>
  <c r="AZ30" i="8" s="1"/>
  <c r="AZ36" i="13"/>
  <c r="AZ12" i="13"/>
  <c r="AZ23" i="13"/>
  <c r="AZ24" i="13" s="1"/>
  <c r="BC53" i="13"/>
  <c r="BC54" i="13"/>
  <c r="BA50" i="13"/>
  <c r="BA54" i="13"/>
  <c r="AZ18" i="8"/>
  <c r="AZ19" i="8" s="1"/>
  <c r="AZ10" i="8" s="1"/>
  <c r="X35" i="5"/>
  <c r="X36" i="5" s="1"/>
  <c r="Y47" i="5"/>
  <c r="X27" i="5"/>
  <c r="X32" i="5" s="1"/>
  <c r="X26" i="5"/>
  <c r="X31" i="5" s="1"/>
  <c r="A31" i="4"/>
  <c r="A43" i="4" s="1"/>
  <c r="A36" i="4"/>
  <c r="A38" i="4" s="1"/>
  <c r="A34" i="4"/>
  <c r="E56" i="2"/>
  <c r="E54" i="2"/>
  <c r="E49" i="2"/>
  <c r="J4" i="2"/>
  <c r="J5" i="2"/>
  <c r="J6" i="2"/>
  <c r="J13" i="2" s="1"/>
  <c r="E47" i="2"/>
  <c r="E48" i="2" s="1"/>
  <c r="AZ35" i="8" l="1"/>
  <c r="AX30" i="8"/>
  <c r="AX27" i="8" s="1"/>
  <c r="AX35" i="8" s="1"/>
  <c r="AZ36" i="8" s="1"/>
  <c r="BC53" i="8"/>
  <c r="BC54" i="8"/>
  <c r="BA44" i="8"/>
  <c r="BA46" i="8" s="1"/>
  <c r="BA48" i="8" s="1"/>
  <c r="BA40" i="8"/>
  <c r="AZ13" i="13"/>
  <c r="AZ15" i="13"/>
  <c r="AZ20" i="13" s="1"/>
  <c r="BC55" i="13"/>
  <c r="X33" i="5"/>
  <c r="J14" i="2"/>
  <c r="J16" i="2" s="1"/>
  <c r="F59" i="2"/>
  <c r="F60" i="2" s="1"/>
  <c r="BA50" i="8" l="1"/>
  <c r="BA54" i="8"/>
  <c r="BC55" i="8" s="1"/>
  <c r="E52" i="2"/>
  <c r="E46" i="2"/>
  <c r="D46" i="2"/>
  <c r="O32" i="2"/>
  <c r="M32" i="2"/>
  <c r="A15" i="2"/>
  <c r="A14" i="2"/>
  <c r="O34" i="2" l="1"/>
  <c r="O33" i="2"/>
  <c r="O35" i="2" s="1"/>
  <c r="J22" i="2" s="1"/>
  <c r="J23" i="2" s="1"/>
  <c r="X31" i="2"/>
  <c r="A33" i="2"/>
  <c r="R6" i="2" s="1"/>
  <c r="R4" i="2"/>
  <c r="R5" i="2" s="1"/>
  <c r="Q36" i="2"/>
  <c r="M34" i="2"/>
  <c r="M33" i="2"/>
  <c r="X34" i="2" l="1"/>
  <c r="P6" i="2"/>
  <c r="R13" i="2"/>
  <c r="R12" i="2"/>
  <c r="R16" i="2" s="1"/>
  <c r="R17" i="2" s="1"/>
  <c r="R20" i="2" s="1"/>
  <c r="R21" i="2" s="1"/>
  <c r="X20" i="2"/>
  <c r="M35" i="2"/>
  <c r="R25" i="2" l="1"/>
  <c r="X12" i="2"/>
  <c r="AE33" i="5" l="1"/>
  <c r="AE37" i="5" s="1"/>
  <c r="AE40" i="5"/>
  <c r="AE41" i="5" s="1"/>
  <c r="AE42" i="5" l="1"/>
  <c r="AE45" i="5"/>
  <c r="AE46" i="5" s="1"/>
  <c r="AX25" i="5" l="1"/>
  <c r="AE54" i="5"/>
  <c r="AE55" i="5" s="1"/>
  <c r="AE47" i="5"/>
  <c r="AW26" i="5" s="1"/>
  <c r="BA41" i="5"/>
  <c r="AZ27" i="5" l="1"/>
  <c r="AZ28" i="5"/>
  <c r="AX26" i="5"/>
  <c r="AX24" i="5" s="1"/>
  <c r="AX30" i="5" s="1"/>
  <c r="BA43" i="5"/>
  <c r="BA42" i="5"/>
  <c r="BA45" i="5" s="1"/>
  <c r="BC47" i="5" s="1"/>
  <c r="BC49" i="5" s="1"/>
  <c r="AE48" i="5"/>
  <c r="AE49" i="5" s="1"/>
  <c r="AW12" i="5"/>
  <c r="AW13" i="5" s="1"/>
  <c r="AW18" i="5" s="1"/>
  <c r="AY12" i="5"/>
  <c r="AY13" i="5" s="1"/>
  <c r="AZ30" i="5" l="1"/>
  <c r="AZ31" i="5" s="1"/>
  <c r="AZ29" i="5"/>
  <c r="AY18" i="5"/>
  <c r="AZ16" i="5"/>
  <c r="AZ17" i="5" s="1"/>
  <c r="AZ10" i="5" s="1"/>
  <c r="BC51" i="5"/>
  <c r="BD49" i="5"/>
  <c r="AZ20" i="5"/>
  <c r="BA40" i="5"/>
  <c r="BA44" i="5"/>
  <c r="BA46" i="5" s="1"/>
  <c r="BA48" i="5" s="1"/>
  <c r="AZ12" i="5" l="1"/>
  <c r="AZ13" i="5" s="1"/>
  <c r="AZ18" i="5" s="1"/>
  <c r="AZ21" i="5"/>
  <c r="AZ22" i="5" s="1"/>
  <c r="BA50" i="5"/>
  <c r="BA54" i="5"/>
  <c r="BC54" i="5"/>
  <c r="BC53" i="5"/>
  <c r="BC55" i="5" l="1"/>
  <c r="V16" i="8" l="1"/>
  <c r="V18" i="8" l="1"/>
  <c r="V49" i="8" s="1"/>
  <c r="V51" i="8" s="1"/>
  <c r="X52" i="8" s="1"/>
  <c r="Y57" i="8"/>
  <c r="Y59" i="8" s="1"/>
  <c r="V37" i="8"/>
  <c r="X40" i="8" l="1"/>
  <c r="X41" i="8" s="1"/>
  <c r="X43" i="8" s="1"/>
  <c r="V38" i="8"/>
  <c r="V39" i="8" s="1"/>
  <c r="V45" i="8"/>
  <c r="V44" i="8"/>
  <c r="AZ23" i="8"/>
  <c r="AZ24" i="8" s="1"/>
  <c r="AZ25" i="8" s="1"/>
  <c r="AZ12" i="8"/>
  <c r="AZ15" i="8" s="1"/>
  <c r="AZ20" i="8" s="1"/>
  <c r="AZ13" i="8" l="1"/>
</calcChain>
</file>

<file path=xl/comments1.xml><?xml version="1.0" encoding="utf-8"?>
<comments xmlns="http://schemas.openxmlformats.org/spreadsheetml/2006/main">
  <authors>
    <author>Haibo Zhai</author>
  </authors>
  <commentList>
    <comment ref="X12" authorId="0" shapeId="0">
      <text>
        <r>
          <rPr>
            <b/>
            <sz val="9"/>
            <color indexed="81"/>
            <rFont val="Tahoma"/>
            <family val="2"/>
          </rPr>
          <t>Haibo Zhai:</t>
        </r>
        <r>
          <rPr>
            <sz val="9"/>
            <color indexed="81"/>
            <rFont val="Tahoma"/>
            <family val="2"/>
          </rPr>
          <t xml:space="preserve">
is a funtion of plant heat rate? Repeat the calcuatins for subcritical and USC plants in the IECM</t>
        </r>
      </text>
    </comment>
    <comment ref="R13" authorId="0" shapeId="0">
      <text>
        <r>
          <rPr>
            <b/>
            <sz val="9"/>
            <color indexed="81"/>
            <rFont val="Tahoma"/>
            <family val="2"/>
          </rPr>
          <t>Haibo Zhai:</t>
        </r>
        <r>
          <rPr>
            <sz val="9"/>
            <color indexed="81"/>
            <rFont val="Tahoma"/>
            <family val="2"/>
          </rPr>
          <t xml:space="preserve">
almost same as the plant gross power output? Something wrong.</t>
        </r>
      </text>
    </comment>
    <comment ref="A14" authorId="0" shapeId="0">
      <text>
        <r>
          <rPr>
            <b/>
            <sz val="9"/>
            <color indexed="81"/>
            <rFont val="Tahoma"/>
            <family val="2"/>
          </rPr>
          <t>Haibo Zhai:</t>
        </r>
        <r>
          <rPr>
            <sz val="9"/>
            <color indexed="81"/>
            <rFont val="Tahoma"/>
            <family val="2"/>
          </rPr>
          <t xml:space="preserve">
this is wrong. 30% is on the mass basis instead of the mole basis.</t>
        </r>
      </text>
    </comment>
    <comment ref="R20" authorId="0" shapeId="0">
      <text>
        <r>
          <rPr>
            <b/>
            <sz val="9"/>
            <color indexed="81"/>
            <rFont val="Tahoma"/>
            <family val="2"/>
          </rPr>
          <t>Haibo Zhai:</t>
        </r>
        <r>
          <rPr>
            <sz val="9"/>
            <color indexed="81"/>
            <rFont val="Tahoma"/>
            <family val="2"/>
          </rPr>
          <t xml:space="preserve">
In normal operation, 90% is captured </t>
        </r>
      </text>
    </comment>
    <comment ref="R21" authorId="0" shapeId="0">
      <text>
        <r>
          <rPr>
            <b/>
            <sz val="9"/>
            <color indexed="81"/>
            <rFont val="Tahoma"/>
            <family val="2"/>
          </rPr>
          <t>Haibo Zhai:</t>
        </r>
        <r>
          <rPr>
            <sz val="9"/>
            <color indexed="81"/>
            <rFont val="Tahoma"/>
            <family val="2"/>
          </rPr>
          <t xml:space="preserve">
this is wrong!</t>
        </r>
      </text>
    </comment>
    <comment ref="A25" authorId="0" shapeId="0">
      <text>
        <r>
          <rPr>
            <b/>
            <sz val="9"/>
            <color indexed="81"/>
            <rFont val="Tahoma"/>
            <family val="2"/>
          </rPr>
          <t>Haibo Zhai:</t>
        </r>
        <r>
          <rPr>
            <sz val="9"/>
            <color indexed="81"/>
            <rFont val="Tahoma"/>
            <family val="2"/>
          </rPr>
          <t xml:space="preserve">
how did you get this? Not 27.8%</t>
        </r>
      </text>
    </comment>
    <comment ref="B25" authorId="0" shapeId="0">
      <text>
        <r>
          <rPr>
            <b/>
            <sz val="9"/>
            <color indexed="81"/>
            <rFont val="Tahoma"/>
            <family val="2"/>
          </rPr>
          <t>Haibo Zhag
gross vs net power outputs?</t>
        </r>
      </text>
    </comment>
    <comment ref="A28" authorId="0" shapeId="0">
      <text>
        <r>
          <rPr>
            <b/>
            <sz val="9"/>
            <color indexed="81"/>
            <rFont val="Tahoma"/>
            <family val="2"/>
          </rPr>
          <t>Haibo Zhai:</t>
        </r>
        <r>
          <rPr>
            <sz val="9"/>
            <color indexed="81"/>
            <rFont val="Tahoma"/>
            <family val="2"/>
          </rPr>
          <t xml:space="preserve">
how did you get this number?</t>
        </r>
      </text>
    </comment>
    <comment ref="M31" authorId="0" shapeId="0">
      <text>
        <r>
          <rPr>
            <b/>
            <sz val="9"/>
            <color indexed="81"/>
            <rFont val="Tahoma"/>
            <family val="2"/>
          </rPr>
          <t>Haibo Zhai:</t>
        </r>
        <r>
          <rPr>
            <sz val="9"/>
            <color indexed="81"/>
            <rFont val="Tahoma"/>
            <family val="2"/>
          </rPr>
          <t xml:space="preserve">
is a function of net plante efficiency/heat rate?</t>
        </r>
      </text>
    </comment>
    <comment ref="O31" authorId="0" shapeId="0">
      <text>
        <r>
          <rPr>
            <b/>
            <sz val="9"/>
            <color indexed="81"/>
            <rFont val="Tahoma"/>
            <family val="2"/>
          </rPr>
          <t>Haibo Zhai:</t>
        </r>
        <r>
          <rPr>
            <sz val="9"/>
            <color indexed="81"/>
            <rFont val="Tahoma"/>
            <family val="2"/>
          </rPr>
          <t xml:space="preserve">
is a function of net plante efficiency/heat rate?</t>
        </r>
      </text>
    </comment>
    <comment ref="B32" authorId="0" shapeId="0">
      <text>
        <r>
          <rPr>
            <b/>
            <sz val="9"/>
            <color indexed="81"/>
            <rFont val="Tahoma"/>
            <family val="2"/>
          </rPr>
          <t>Haibo Zhai:</t>
        </r>
        <r>
          <rPr>
            <sz val="9"/>
            <color indexed="81"/>
            <rFont val="Tahoma"/>
            <family val="2"/>
          </rPr>
          <t xml:space="preserve">
compared to the plant without CCS?</t>
        </r>
      </text>
    </comment>
    <comment ref="B33" authorId="0" shapeId="0">
      <text>
        <r>
          <rPr>
            <b/>
            <sz val="9"/>
            <color indexed="81"/>
            <rFont val="Tahoma"/>
            <family val="2"/>
          </rPr>
          <t>Haibo Zhai:</t>
        </r>
        <r>
          <rPr>
            <sz val="9"/>
            <color indexed="81"/>
            <rFont val="Tahoma"/>
            <family val="2"/>
          </rPr>
          <t xml:space="preserve">
net power output!</t>
        </r>
      </text>
    </comment>
    <comment ref="F60" authorId="0" shapeId="0">
      <text>
        <r>
          <rPr>
            <b/>
            <sz val="9"/>
            <color indexed="81"/>
            <rFont val="Tahoma"/>
            <family val="2"/>
          </rPr>
          <t>Haibo Zhai:</t>
        </r>
        <r>
          <rPr>
            <sz val="9"/>
            <color indexed="81"/>
            <rFont val="Tahoma"/>
            <family val="2"/>
          </rPr>
          <t xml:space="preserve">
a function of plant size, net heat rate, coal rank?</t>
        </r>
      </text>
    </comment>
  </commentList>
</comments>
</file>

<file path=xl/sharedStrings.xml><?xml version="1.0" encoding="utf-8"?>
<sst xmlns="http://schemas.openxmlformats.org/spreadsheetml/2006/main" count="3022" uniqueCount="705">
  <si>
    <t>PARAMETERS</t>
  </si>
  <si>
    <t>CCS SOLVENT</t>
  </si>
  <si>
    <t>Water</t>
  </si>
  <si>
    <t>MEA</t>
  </si>
  <si>
    <t>Solvent Components</t>
  </si>
  <si>
    <t>Solvent Parameters</t>
  </si>
  <si>
    <t>Molecular Weight (g/mol)</t>
  </si>
  <si>
    <t>Density (g/cm^3)</t>
  </si>
  <si>
    <t>Molecular weight (g/mol)</t>
  </si>
  <si>
    <t>Solvent Composition (by weight)</t>
  </si>
  <si>
    <t>CO2 CAPTURE</t>
  </si>
  <si>
    <t>Heat Rate Penalty</t>
  </si>
  <si>
    <t>MISC.</t>
  </si>
  <si>
    <t>Molecular Weight, CO2 (g/mol)</t>
  </si>
  <si>
    <t>Heat Rate, Gross (MMBtu/MWh)</t>
  </si>
  <si>
    <t>Heat Rate, Net (MMBtu/MWh)</t>
  </si>
  <si>
    <t>Gross Capacity (MW)</t>
  </si>
  <si>
    <t>OPERATIONS USING STORED LEAN SOLVENT</t>
  </si>
  <si>
    <t>NORMAL OPERATION WITH CCS</t>
  </si>
  <si>
    <t>Capacity Penalty</t>
  </si>
  <si>
    <t>Net Capacity (MW)</t>
  </si>
  <si>
    <t>Plant Parameters</t>
  </si>
  <si>
    <t>Energy to CO2 Capture System (MWh)</t>
  </si>
  <si>
    <t>Gross Fuel Input (MMBtu)</t>
  </si>
  <si>
    <t>Net Energy Output to Grid (MWh)</t>
  </si>
  <si>
    <t>Ecc</t>
  </si>
  <si>
    <t>Egrid</t>
  </si>
  <si>
    <t>IECM Data</t>
  </si>
  <si>
    <t>BASE PLANT (BEFORE CCS RETROFIT)</t>
  </si>
  <si>
    <t>GET VOLUME OF LEAN SOLVENT CIRCULATED TO</t>
  </si>
  <si>
    <t>NET ENERGY DELIVERED TO GRID AT CONSTANT OUTPUT.</t>
  </si>
  <si>
    <t>Get energy used in CO2 capture system</t>
  </si>
  <si>
    <t>Assume operating at full output for 1 hour.</t>
  </si>
  <si>
    <t>Gross Output (MW)</t>
  </si>
  <si>
    <t>Net Output (MW)</t>
  </si>
  <si>
    <t>Vlean</t>
  </si>
  <si>
    <t>Mass lean solvent (tons)</t>
  </si>
  <si>
    <t>Solvent mass values were obtained from Get Results -&gt; CO2 Capture -&gt; Diagram -&gt; Sorbent Circ. (tons/hr)</t>
  </si>
  <si>
    <t>a</t>
  </si>
  <si>
    <t>CO2 Capture System Use (MW)</t>
  </si>
  <si>
    <t>Vlean/Ecc</t>
  </si>
  <si>
    <t>MW</t>
  </si>
  <si>
    <t>tons</t>
  </si>
  <si>
    <t>Coal flow rate (tons/hr)</t>
  </si>
  <si>
    <t>Plant w/ CCS</t>
  </si>
  <si>
    <t>.</t>
  </si>
  <si>
    <t>Vlean = a * Ecc</t>
  </si>
  <si>
    <t>Non-fuel-input-limited plants</t>
  </si>
  <si>
    <t>Coal flow rate, plant w/out CCS (tons/hr)</t>
  </si>
  <si>
    <t>Gross output (MW) [adjusted so coal flow rate = above coal flow rate]</t>
  </si>
  <si>
    <r>
      <rPr>
        <i/>
        <sz val="11"/>
        <color theme="1"/>
        <rFont val="Calibri"/>
        <family val="2"/>
        <scheme val="minor"/>
      </rPr>
      <t>Ecc</t>
    </r>
    <r>
      <rPr>
        <sz val="11"/>
        <color theme="1"/>
        <rFont val="Calibri"/>
        <family val="2"/>
        <scheme val="minor"/>
      </rPr>
      <t xml:space="preserve"> (CO2 capture system use (MW))</t>
    </r>
  </si>
  <si>
    <r>
      <t>Vlean</t>
    </r>
    <r>
      <rPr>
        <sz val="11"/>
        <color theme="1"/>
        <rFont val="Calibri"/>
        <family val="2"/>
        <scheme val="minor"/>
      </rPr>
      <t xml:space="preserve"> (mass lean solvent (tons))</t>
    </r>
  </si>
  <si>
    <t>CO2 capture system use values were obtained from Get Results -&gt; Overall Plan t-&gt; CO2 Capture System Use (MW)</t>
  </si>
  <si>
    <t>Non-fuel-input-limited plants were tested by simply changing gross output values of base plant in Set Parameters -&gt; Base Plant -&gt; Performance</t>
  </si>
  <si>
    <t>Fuel-input-limited plant was tested by setting up plant w/out CCS, getting coal flow rate value, then retrofitting</t>
  </si>
  <si>
    <t>plant w/ CCS and adjusting gross output value until coal flow rates match.</t>
  </si>
  <si>
    <t xml:space="preserve">This matches how I am modeling CCS retrofits - assuming plants are fuel input limited, hence larger capacity penalty than efficiency penalty. </t>
  </si>
  <si>
    <t>OPERATIONS WITH STORED LEAN SOLVENT</t>
  </si>
  <si>
    <t>Heat Rate Penalty Reduction</t>
  </si>
  <si>
    <t>Capacity Penalty Reduction</t>
  </si>
  <si>
    <r>
      <rPr>
        <i/>
        <sz val="11"/>
        <color theme="1"/>
        <rFont val="Calibri"/>
        <family val="2"/>
        <scheme val="minor"/>
      </rPr>
      <t>Assume operating at full output for 1 hour</t>
    </r>
    <r>
      <rPr>
        <sz val="11"/>
        <color theme="1"/>
        <rFont val="Calibri"/>
        <family val="2"/>
        <scheme val="minor"/>
      </rPr>
      <t xml:space="preserve">. </t>
    </r>
  </si>
  <si>
    <t>STEP 1</t>
  </si>
  <si>
    <t>STEP 2</t>
  </si>
  <si>
    <t>Get CO2 emissions from fuel input.</t>
  </si>
  <si>
    <t>Source: bituminous, EIA (http://www.eia.gov/tools/faqs/faq.cfm?id=73&amp;t=11)</t>
  </si>
  <si>
    <t>Fuel CO2 Content (lb/MMBtu)</t>
  </si>
  <si>
    <t>CO2 emissions from input fuel (lb)</t>
  </si>
  <si>
    <r>
      <t>Get required amount of lean solvent</t>
    </r>
    <r>
      <rPr>
        <sz val="11"/>
        <color theme="1"/>
        <rFont val="Calibri"/>
        <family val="2"/>
        <scheme val="minor"/>
      </rPr>
      <t>.</t>
    </r>
  </si>
  <si>
    <t>Solvent loading factor (mol CO2/mol sorbent)</t>
  </si>
  <si>
    <t>CO2 emissions from input fuel (mol)</t>
  </si>
  <si>
    <t>CONVERSION FACTOR</t>
  </si>
  <si>
    <t>gram/lb</t>
  </si>
  <si>
    <t>Moles lean solvent (mol)</t>
  </si>
  <si>
    <t>Mass lean solvent (g)</t>
  </si>
  <si>
    <t>NET ENERGY DELIVERED TO GRID USING CO2 EMISSIONS AS INTERMEDIARY.</t>
  </si>
  <si>
    <t>Get relationship between Vlean &amp; Egrid</t>
  </si>
  <si>
    <t>b</t>
  </si>
  <si>
    <t>Vlean = b * Egrid</t>
  </si>
  <si>
    <t>[g lean solvent / MWh energy to grid]</t>
  </si>
  <si>
    <t>[g lean solvent / MWh energy to CO2 capture sys]</t>
  </si>
  <si>
    <t>STEP 3</t>
  </si>
  <si>
    <t>RELATE NORMAL OPERATIONS TO OPERATIONS USING STORED LEAN SOLVENT</t>
  </si>
  <si>
    <t>Volume of lean solvent stored equals volume of lean solvent later discharged.</t>
  </si>
  <si>
    <t>Normal operations tells us energy input per unit lean solvent stored.</t>
  </si>
  <si>
    <t>Operations with stored lean solvent tells us energy output enabled per unit lean solvent discharged.</t>
  </si>
  <si>
    <t>NORMAL OPERATIONS</t>
  </si>
  <si>
    <t>STORED LEAN SOLVENT OPERATIONS</t>
  </si>
  <si>
    <t>a * Ecc = b * Egrid</t>
  </si>
  <si>
    <t>Egrid / Ecc = a / b</t>
  </si>
  <si>
    <t>Egrid/Ecc</t>
  </si>
  <si>
    <t>[tons lean solvent / MWh energy to CO2 capture sys]</t>
  </si>
  <si>
    <t>(assumes IECM tons = short tons)</t>
  </si>
  <si>
    <t>gram/short ton</t>
  </si>
  <si>
    <t>[MWh energy to grid/MWh energy to CO2 capture sys to store lean solvent]</t>
  </si>
  <si>
    <t>CHECK</t>
  </si>
  <si>
    <t>Above conversion factor from Egrid/Ecc should be less</t>
  </si>
  <si>
    <t>less than value for conversion factor from Egrid/Ecc</t>
  </si>
  <si>
    <t>during normal operations, since do not completely eliminate</t>
  </si>
  <si>
    <t>capture penalty when using stored lean solvent.</t>
  </si>
  <si>
    <t>Ratio during normal operations:</t>
  </si>
  <si>
    <t>Mass CO2 to mass lean solvent conversion</t>
  </si>
  <si>
    <t>MassCO2/MassLean = LeanLoading*MWCO2/MWLean</t>
  </si>
  <si>
    <t>[molCO2/molSolvent]*[gCO2/molCO2]/[gSolvent/molSolvent]</t>
  </si>
  <si>
    <t>gCO2/gSolvent</t>
  </si>
  <si>
    <t>ALTERNATE CALCULATION</t>
  </si>
  <si>
    <t>Vlean/Egrid = NetHeatRate * CO2ContentFuel / [gCO2/gSolvent] = b</t>
  </si>
  <si>
    <t>Same value as above - good.</t>
  </si>
  <si>
    <t>Eregen</t>
  </si>
  <si>
    <t>Regenerator Use (MW)</t>
  </si>
  <si>
    <t>Vlean/(Ecc+Eregen)</t>
  </si>
  <si>
    <t>Use IECM to get values for Vlean and (Ecc+Eregen) to calculate a (see below)</t>
  </si>
  <si>
    <t>Vlean = a * Eccs = a * (Ecc + Eregen)</t>
  </si>
  <si>
    <t>Relate volume of lean solvent (Vlean) to parasitic load of CCS system</t>
  </si>
  <si>
    <t>Ecc/Egrid=HRPccs</t>
  </si>
  <si>
    <t>Need total input to CCS system, which includes regenerator.</t>
  </si>
  <si>
    <t>Fuel-input-limited plant, no CCS</t>
  </si>
  <si>
    <t xml:space="preserve">Values obtained from IECM using reference coal plant equipped with in-furnace NOx controls, </t>
  </si>
  <si>
    <t>hot-side SCR, cold-side ESP, wet FGD, carbon injection (Hg control), and amine CCS system with 90%</t>
  </si>
  <si>
    <t>CO2 capture. These CTs were included because plants retrofit in my fleet with CCS have them installed.</t>
  </si>
  <si>
    <t>Net MW?</t>
  </si>
  <si>
    <t>Gross MW</t>
  </si>
  <si>
    <t>NSPS w/o CCS, including carbon injection for Hg</t>
  </si>
  <si>
    <t>Capacity penalty</t>
  </si>
  <si>
    <t>NSPS w/CCS, stored lean solvent</t>
  </si>
  <si>
    <t>[increased MW]/[MW power use by CCS in normal operation]</t>
  </si>
  <si>
    <t>[Inreased MW]</t>
  </si>
  <si>
    <t>NSPS w/CCS, normal</t>
  </si>
  <si>
    <t>Solvent Flow Rate (tons/hr)</t>
  </si>
  <si>
    <t>Fuel flow rate (tons/hr)</t>
  </si>
  <si>
    <t>Inreased Power Output with Stored Lean-Solvent Operation, compared tonormal CCS operation</t>
  </si>
  <si>
    <t>Net MW (delivered to GRID)</t>
  </si>
  <si>
    <t>HAIBO ADDITIONS</t>
  </si>
  <si>
    <t>Electricity Use by CCS</t>
  </si>
  <si>
    <t>Calculations by Michael in italics</t>
  </si>
  <si>
    <t>Change in Net MW when retrofit CCS:</t>
  </si>
  <si>
    <t>tons/MWh</t>
  </si>
  <si>
    <t>Net Energy Delivered to Grid (MWh) per Unit Energy Used in CO2 Capture (MWh):</t>
  </si>
  <si>
    <t>Solvent Flow Rate (tons) per Unit Energy (MWh) Used in CO2 Capture:</t>
  </si>
  <si>
    <t>I.e., energy (in MWh) used to capture CO2 in 1 hour</t>
  </si>
  <si>
    <t>MWh/MWh</t>
  </si>
  <si>
    <t>Solvent flow rate w/ stored lean solvent ~= solvent flow rate w/ continuous CCS</t>
  </si>
  <si>
    <t>Net Energy Delivered to Grid Using Stored Lean Solvent (MWh) per Unit Stored Lean Solvent Used (tons):</t>
  </si>
  <si>
    <t>MWh/tons</t>
  </si>
  <si>
    <t>Above ratio of energy used in CO2 capture (MWh) to solvent flow rate (tons) tells me how much energy I need to put in for each ton of stored lean solvent. So I can use that value to convert the ratio in the above row from [Net MWh to grid using stored lean solvent/ton discharged stored lean solvent] to [Net MWh to grid using stored lean solvent/MWh Used in CO2 capture system to get that ton lean solvent]. That lets me relate energy I input during "charging" cycle (i.e., when storing lean solvent) to energy I later produce with that same volume of lean solvent.</t>
  </si>
  <si>
    <t>Net Energy Delivered to Grid Using Stored Lean Solvent (MWh) per Energy (MWh) Put Into CO2 Capture System to get 1 ton of Stored Lean Solvent:</t>
  </si>
  <si>
    <t>[Problem w/ this value: does not include energy used in regenerator, which I need to capture. The increased power output in the denominator implicitly includes the benefit of eliminating demand in the regenerator, but the denominator does not include that term, biasing these results upwards.]</t>
  </si>
  <si>
    <t>In-Furnace NOx Controls</t>
  </si>
  <si>
    <t>Hot-Side SCR</t>
  </si>
  <si>
    <t>Cold-Side ESP</t>
  </si>
  <si>
    <t>Wet FGD</t>
  </si>
  <si>
    <t>Carbon Injection</t>
  </si>
  <si>
    <t>Once-Through Cooling</t>
  </si>
  <si>
    <t>BASE PLANT</t>
  </si>
  <si>
    <t>Control techs:</t>
  </si>
  <si>
    <t>Coal type:</t>
  </si>
  <si>
    <t>Plant</t>
  </si>
  <si>
    <t>Fuel Input (tons/hr)</t>
  </si>
  <si>
    <t>Base</t>
  </si>
  <si>
    <t>Subbit: Wyoming PRB</t>
  </si>
  <si>
    <t>Bit: Appalachian Low-Sulfur</t>
  </si>
  <si>
    <t>CCS Plant</t>
  </si>
  <si>
    <t>Same as base plant plus amine system</t>
  </si>
  <si>
    <t>CCS Plant w/ Solvent Storage</t>
  </si>
  <si>
    <t>T&amp;S Config, CO2 Unit Comprresion Energy</t>
  </si>
  <si>
    <t>Capture, Regen. Heat Requirement</t>
  </si>
  <si>
    <t>Performance, Amine Scrubber Power Req</t>
  </si>
  <si>
    <t>CO2 Capture System Use</t>
  </si>
  <si>
    <t>With default values:</t>
  </si>
  <si>
    <t>TESTING SOLVENT STORAGE DISCHARGING</t>
  </si>
  <si>
    <t>T&amp;S Config, CO2 Unit Compression Energy</t>
  </si>
  <si>
    <t>Field</t>
  </si>
  <si>
    <t>Stored Lean Solvent Discharge Config</t>
  </si>
  <si>
    <t>Default Value</t>
  </si>
  <si>
    <t>For plant w/ CCS @ 650 MW gross output &amp; bituminous fuel</t>
  </si>
  <si>
    <r>
      <t xml:space="preserve">For plant w/ CCS @ 650 MW gross output &amp; </t>
    </r>
    <r>
      <rPr>
        <i/>
        <sz val="11"/>
        <color theme="1"/>
        <rFont val="Calibri"/>
        <family val="2"/>
        <scheme val="minor"/>
      </rPr>
      <t>subbituminous</t>
    </r>
    <r>
      <rPr>
        <sz val="11"/>
        <color theme="1"/>
        <rFont val="Calibri"/>
        <family val="2"/>
        <scheme val="minor"/>
      </rPr>
      <t xml:space="preserve"> fuel</t>
    </r>
  </si>
  <si>
    <t>See tables at right for parameter values to model generation while discharging</t>
  </si>
  <si>
    <t>stored lean solvent.</t>
  </si>
  <si>
    <t>Model as CCS plant while discharging stored lean solvent.</t>
  </si>
  <si>
    <t>Subbituminous Coal</t>
  </si>
  <si>
    <t>CCS</t>
  </si>
  <si>
    <t>CCS, Using Stored Lean Solvent</t>
  </si>
  <si>
    <t>Bituminous Coal</t>
  </si>
  <si>
    <t>Parameter Estimates</t>
  </si>
  <si>
    <t>Value</t>
  </si>
  <si>
    <t>Units</t>
  </si>
  <si>
    <t>Parameter</t>
  </si>
  <si>
    <t>Solvent flow rate per unit energy  sent to CO2 capture</t>
  </si>
  <si>
    <t>Note that this includes steam energy input to regenerator, represented in MWh</t>
  </si>
  <si>
    <t>Net energy delivered to grid per unit energy used in CO2 capture system (including regenerator)</t>
  </si>
  <si>
    <t>In other words, every MWh used to capture CO2 enables 2.48 MWh delivered to grid.</t>
  </si>
  <si>
    <t>Net energy delivered to grid while discharging stored lean solvent per unit of stored lean solvent used.</t>
  </si>
  <si>
    <t>Net energy delivered to grid using stored lean solvent per unit of energy input to CO2 capture system to generate requisite amount of stored lean solvent</t>
  </si>
  <si>
    <t>Know that for every ton stored lean solvent discharged, can generate 0.07 MWh.</t>
  </si>
  <si>
    <t>Net energy delivered to grid per unit of lean solvent regenerated.</t>
  </si>
  <si>
    <t>Continuous/normal CCS operations</t>
  </si>
  <si>
    <t>CCS operations using stored lean solvent</t>
  </si>
  <si>
    <t>Note that this parameter value is greater than that for normal CCS operations (see above), as expected given elimination of most of parasitic load of CO2 capture system while using stored lean solvent.</t>
  </si>
  <si>
    <t>Change in Net MW when retrofit CCS = MW used to run CO2 capture system (including regenerator)</t>
  </si>
  <si>
    <t>This tells me throughput of regenerator when "right-sized", i.e. sized to CCS plant at maximum normal operations</t>
  </si>
  <si>
    <t>MWh</t>
  </si>
  <si>
    <t>Regenerator size, in terms of steam energy input (in units of MWh equivalent)</t>
  </si>
  <si>
    <t>Solvent flow rate per unit energy sent to regenerator only (not to rest of CO2 capture system).</t>
  </si>
  <si>
    <t>TESTING RELATIONSHIP BETWEEN CO2 CAPTURE SYSTEM USE AND REGENERATOR USE (ALL IN MW)</t>
  </si>
  <si>
    <t xml:space="preserve">I want to know what the relationship in energy demanded by the regenerator and the rest of the CO2 capture system is. </t>
  </si>
  <si>
    <t>The rest of the CO2 capture system's energy use is available in the CO2 Capture System Use field, already provided in MW.</t>
  </si>
  <si>
    <t>The regenerator energy demand, in MWh, can be determined by taking the difference in the net output of a coal plant</t>
  </si>
  <si>
    <t>w/out and w/ CCS (which embodies the entire energy demand by capturing CO2) and subtracting the CO2 Capture System Use</t>
  </si>
  <si>
    <t xml:space="preserve">value. </t>
  </si>
  <si>
    <t>Data is for base vs. CCS plant, defined at left, with bituminous coal.</t>
  </si>
  <si>
    <t>Base Plant Fuel Input (tons/hr)</t>
  </si>
  <si>
    <t>CCS Plant Fuel Input (tons/hr)</t>
  </si>
  <si>
    <t>CCS Plant Gross Output (MW)</t>
  </si>
  <si>
    <t>CCS Plant Net Output (MW)</t>
  </si>
  <si>
    <t>CCS Plant CO2 Capture System Use (MW)</t>
  </si>
  <si>
    <t>CCS Plant Implied Regenerator Energy Use (MW)</t>
  </si>
  <si>
    <t>Base-CCS Net Output (MW)</t>
  </si>
  <si>
    <t>Base Plant Gross Output (MW)</t>
  </si>
  <si>
    <t>Base Plant Net Output (MW)</t>
  </si>
  <si>
    <t>Regenerator Energy Use / CO2 Capture System Use (MW/MW)</t>
  </si>
  <si>
    <t>4 time steps:</t>
  </si>
  <si>
    <t>t=0: max generation</t>
  </si>
  <si>
    <t>t=2: max generation</t>
  </si>
  <si>
    <t>t=3: max generation utilizing stored lean solvent</t>
  </si>
  <si>
    <t>This is a numeric example to compare power generation over time for a non-flexible and flexible CCS plant.</t>
  </si>
  <si>
    <t>Net output</t>
  </si>
  <si>
    <t>Plant Parameters w/ CCS</t>
  </si>
  <si>
    <t>Plant Parameters w/ CCS Using Stored Lean Solvent</t>
  </si>
  <si>
    <t>Lean solvent flow rate</t>
  </si>
  <si>
    <t>Plant specification: CCS plant type on prior sheet, bituminous coal</t>
  </si>
  <si>
    <t>t=</t>
  </si>
  <si>
    <t>Non-flexible CCS</t>
  </si>
  <si>
    <t>Regenerator Use</t>
  </si>
  <si>
    <t>Flexible CCS</t>
  </si>
  <si>
    <t>Total Power Input to Capture CO2 (MW):</t>
  </si>
  <si>
    <t>Regenerator Power Use (MW):</t>
  </si>
  <si>
    <t>CO2 Capture System Power Use (MW):</t>
  </si>
  <si>
    <t>Net output decrease w/ CCS retrofit (i.e., energy to CO2 capture system + regenerator)</t>
  </si>
  <si>
    <t>Ref to Prior Sheet (for reference)</t>
  </si>
  <si>
    <t>Net Power Output to Grid (MW):</t>
  </si>
  <si>
    <t>Mass Solvent Continuously Regenerated (tons):</t>
  </si>
  <si>
    <t>Mass of Stored Rich Solvent at End of Period (tons):</t>
  </si>
  <si>
    <t>Mass of Stored Lean Solvent at End of Period (tons):</t>
  </si>
  <si>
    <t>CO2 Capture System Power Use, Total (MW):</t>
  </si>
  <si>
    <t>Regenerator Power Use, Total (MW):</t>
  </si>
  <si>
    <t>CO2 Capture System Power Use, Continuous Regeneration (MW):</t>
  </si>
  <si>
    <t>CO2 Capture System Power Use, Stored Lean Solvent Regeneration (MW):</t>
  </si>
  <si>
    <t>Regenerator Power Use, Stored Lean Solvent Regeneration (MW):</t>
  </si>
  <si>
    <t>Regenerator Power Use, Continuous Regeneration (MW):</t>
  </si>
  <si>
    <t>Energy required per ton solvent regenerated</t>
  </si>
  <si>
    <t>MWh/ton</t>
  </si>
  <si>
    <t xml:space="preserve">Initial mass of stored lean solvent </t>
  </si>
  <si>
    <t>Initial mass of stored rich solvent</t>
  </si>
  <si>
    <t>Lean and rich solvent tank size</t>
  </si>
  <si>
    <t>Net energy delivered to grid per ton solvent regenerated</t>
  </si>
  <si>
    <t>Energy required per ton solvent regenerated (continuous or stored)</t>
  </si>
  <si>
    <t>Incremental net energy delivered to grid per unit energy used to store lean solvent</t>
  </si>
  <si>
    <t>Energy required to fully charge lean solvent storage tank</t>
  </si>
  <si>
    <t>t=1: store lean solvent (fully charge lean solvent tank)</t>
  </si>
  <si>
    <t>Total Power Input to Regenerate Stored Lean Solvent (MW):</t>
  </si>
  <si>
    <t>Share of total energy input to capture CO2 as energy input to regenerator</t>
  </si>
  <si>
    <t>Share of total energy input to capture CO2 as energy input to CO2 capture system</t>
  </si>
  <si>
    <t>Total Power Input to Continuously Regenerate Solvent (MW):</t>
  </si>
  <si>
    <t>Mass of Lean-Solvent-to-be-Stored Regenerated (tons):</t>
  </si>
  <si>
    <t>Mass of Stored Lean Solvent Discharged (tons):</t>
  </si>
  <si>
    <t>Net Power Output to Grid from Continuous Lean Solvent Regeneration (MW):</t>
  </si>
  <si>
    <t>Net Power Output to Grid from Discharged Stored Lean Solvent (MW):</t>
  </si>
  <si>
    <t>Total Net Power Output to Grid (MW):</t>
  </si>
  <si>
    <t>Total Net Power Delivery to Grid (MW):</t>
  </si>
  <si>
    <t>Incremental et energy delivered to grid while discharging stored lean solvent per unit of stored lean solvent discharged.</t>
  </si>
  <si>
    <t>Incremental net energy delivered to grid per ton stored lean solvent discharged.</t>
  </si>
  <si>
    <t>Power Input to Store Lean Solvent (MW):</t>
  </si>
  <si>
    <t>Energy Output When Discharge Lean Solvent (MW):</t>
  </si>
  <si>
    <t>Net Energy Delivered to Grid Decrease When Storing Lean Solvent (MW):</t>
  </si>
  <si>
    <t>Net Power Change (MW):</t>
  </si>
  <si>
    <t>Net Energy Delivered to Grid From Continuous Regeneration Decreased When Discharging Stored Lean Solvent (MW):</t>
  </si>
  <si>
    <t>Mass of Solvent Passed Through Absorber (tons):</t>
  </si>
  <si>
    <t>Total Net Power Delivery to Grid (MW)</t>
  </si>
  <si>
    <t>Check w/ Alternate Method</t>
  </si>
  <si>
    <t>[Not at max net output because would need full lean solvent tank to get max; see right]</t>
  </si>
  <si>
    <t>Hypothetical: full discharge of full lean solvent storage tank</t>
  </si>
  <si>
    <t>[Constrains stored lean discharged + solvent continuously regen'd]</t>
  </si>
  <si>
    <t>[Declines b/c of less continuous solvent regen]</t>
  </si>
  <si>
    <t>[Based on discharged amount of stored lean solvent]</t>
  </si>
  <si>
    <t>[Discharge entire tank]</t>
  </si>
  <si>
    <t>[Limited by absorber capacity]</t>
  </si>
  <si>
    <t>Same Example Using My Modeling Scheme</t>
  </si>
  <si>
    <t>Base CCS Plant</t>
  </si>
  <si>
    <t>Max Capacity (MW)</t>
  </si>
  <si>
    <t>Solvent Storage Generator</t>
  </si>
  <si>
    <t>Extra Generation Unit</t>
  </si>
  <si>
    <t xml:space="preserve">Heat Rate Penalty </t>
  </si>
  <si>
    <t xml:space="preserve">CCS Capacity Penalty </t>
  </si>
  <si>
    <t>Regenerator Capacity Penalty</t>
  </si>
  <si>
    <t>Continuous Gen</t>
  </si>
  <si>
    <t>Pump Load / Energy to Store Lean Solvent (MWh):</t>
  </si>
  <si>
    <t>Net Energy Output to Grid (MWh):</t>
  </si>
  <si>
    <t>Generation using Discharged Lean Solvent (MWh):</t>
  </si>
  <si>
    <t>Total Generation (MWh):</t>
  </si>
  <si>
    <t>General Parameters</t>
  </si>
  <si>
    <t>Pre-CCS Capacity (MW)</t>
  </si>
  <si>
    <t>Energy to Continuous Solvent Regeneration (MWh):</t>
  </si>
  <si>
    <t>Max Energy Input to CO2 Capture System (MWh)</t>
  </si>
  <si>
    <t>Generation from Pump Unit (MWh):</t>
  </si>
  <si>
    <t>Generation from Extra Generation Unit (MWh):</t>
  </si>
  <si>
    <t xml:space="preserve">Min loading of steam turbine </t>
  </si>
  <si>
    <t>Total Gen</t>
  </si>
  <si>
    <t>Min load of steam turbine (MW)</t>
  </si>
  <si>
    <t>Net energy output to grid per energy pumped (MWh/MWh)</t>
  </si>
  <si>
    <t>Max total (Base + SS) achievable capcaity (MW)</t>
  </si>
  <si>
    <t xml:space="preserve">[Steam turbine min load defined as 20%, so must </t>
  </si>
  <si>
    <t>maintain 20% load through continuous solvent regeneration.]</t>
  </si>
  <si>
    <t>Use of Stored Solvent w/ Backcalculated Regenerator Energy Use</t>
  </si>
  <si>
    <t>[This only captures pump / compression energy use (CO2 Capture System use in IECM), NOT regenerator  energy use]</t>
  </si>
  <si>
    <t>Back-calculated Regenerator Energy Use to Store Lean Solvent (MWh):</t>
  </si>
  <si>
    <t>Back-calculated Regenerator Energy Use for Continuous Regeneration (MWh):</t>
  </si>
  <si>
    <t>Capac Pen (%)</t>
  </si>
  <si>
    <t>Tons Lean Solvent Stored (tons):</t>
  </si>
  <si>
    <t>Tons Solvent Continuously Regenerated (tons):</t>
  </si>
  <si>
    <t>Net Energy to Grid, Tons Stored Lean Discharged (MWh):</t>
  </si>
  <si>
    <t>Net Energy to Grid, Tons Continuously Regenerated (MWh):</t>
  </si>
  <si>
    <t>Tons Stored Lean Solvent Discharged (tons):</t>
  </si>
  <si>
    <t>[Includes energy to regenerator in denominator]</t>
  </si>
  <si>
    <t>Total Net Generation (MWh):</t>
  </si>
  <si>
    <t>Net Energy to Grid per Energy Input to CO2 Capture System (MWh/MWh)</t>
  </si>
  <si>
    <t>Net energy output to grid per energy pumped, excluding energy to regenerator in value this is multiplied with (MWh/MWh)</t>
  </si>
  <si>
    <t>equals prior parameter*(1+Eregen/Eco2capturesystem)</t>
  </si>
  <si>
    <t>Max incremental generation w/ stored lean solvent (MW)</t>
  </si>
  <si>
    <t>Volume of stored lean solvent for max inc. gen (tons)</t>
  </si>
  <si>
    <t>Max capacity (MW), based on volume of stored lean solven</t>
  </si>
  <si>
    <t>necessary for max incremental gen above.</t>
  </si>
  <si>
    <t>[Includes energy to regenerator.]</t>
  </si>
  <si>
    <t>Max capacity (MW), excluding energy to regenerator.</t>
  </si>
  <si>
    <t>I model solvent storage generator as additional stand-alone generator, w/ only incremental generation to base CCS facility.</t>
  </si>
  <si>
    <t>But solvent storage generator really should replace generation from base CCS facility.</t>
  </si>
  <si>
    <t>When I have full pump load at my stand alone generator, need to inflate this value to scale from incremental pump system</t>
  </si>
  <si>
    <t xml:space="preserve">to true pump system. </t>
  </si>
  <si>
    <t>True Pump System</t>
  </si>
  <si>
    <t>Incremental Pump System</t>
  </si>
  <si>
    <t>from Continuous Non-Flexible CCS Operation</t>
  </si>
  <si>
    <t xml:space="preserve">Change in Net Power Delivery to Grid </t>
  </si>
  <si>
    <t>Tank size to meet max possible output using stored lean solvent (tons)</t>
  </si>
  <si>
    <t>Solvent pumped at max pump capacity (tons)</t>
  </si>
  <si>
    <t>[Pump max capacity above does not include energy for regenerator.]</t>
  </si>
  <si>
    <t>[~80% of tank size can be filled in 1 hour, which makes sense given 20% min load on ST.]</t>
  </si>
  <si>
    <t>Tons lean solvent regenerated per unit energy used in CO2 Capture System (tons/MWh)</t>
  </si>
  <si>
    <t>Percent of solvent necessary for max output that can be stored in 1 hour</t>
  </si>
  <si>
    <t>[Excludes energy to regenerator]</t>
  </si>
  <si>
    <t>Max capacity (MW), excluding energy to regenerator and accounting for limit on how much true pump system can be filled in 1 hour.</t>
  </si>
  <si>
    <t>Reduction in base CCS net output per unit energy used to pump lean solvent for storage (MWh/MWh)</t>
  </si>
  <si>
    <t xml:space="preserve">Net energy output to grid per unit energy sent to CO2 capture system </t>
  </si>
  <si>
    <t>Max capacity of base CCS facility at max pump capacity (MW)</t>
  </si>
  <si>
    <t>Check: should be 20% of capacity of base CCS facility</t>
  </si>
  <si>
    <t>Ratio of pump max capacity in incremental vs. true system</t>
  </si>
  <si>
    <t>Ratio of generation at extra generating unit to generation at pumping unit (MW/MW)</t>
  </si>
  <si>
    <t>Use of Stored Solvent, True Pump System</t>
  </si>
  <si>
    <t>Use of Stored Solvent, Incremental Pump System</t>
  </si>
  <si>
    <t>Solvent Regenerated (tons):</t>
  </si>
  <si>
    <t>Solvent Flow from Stored Lean Solvent (tons):</t>
  </si>
  <si>
    <t>Total Solvent Flow Rate (tons):</t>
  </si>
  <si>
    <t>Percent of Continual Solvent Flow Displaced by Stored Solvent (%):</t>
  </si>
  <si>
    <t>Total Max Capacity, Accounting for % Continual Regeneration Displaced (MW):</t>
  </si>
  <si>
    <t>**Note that these values ARE not the same as numeric value to left because of different storage amounts.</t>
  </si>
  <si>
    <t>**However, if you scale based on energy to continuous solvent regeneration, results are the same.</t>
  </si>
  <si>
    <t>Diff in Net Pow Output from Continuous CCS Operations (MW:)</t>
  </si>
  <si>
    <t>Price ($/MWh):</t>
  </si>
  <si>
    <t>Change in Revenues ($):</t>
  </si>
  <si>
    <t>Gross Power (MW):</t>
  </si>
  <si>
    <t>Includes results for coal-fired power plant burning bituminous or sub-bituminous coal.</t>
  </si>
  <si>
    <t>Based on Haibo's calculations provided in earlier iteration of spreadsheet (see sheet 'OLD DO NOT USE')</t>
  </si>
  <si>
    <t>Two numeric examples comparing operations with flexible CCS versus non-flexible CCS&gt;</t>
  </si>
  <si>
    <t>One example is done using data provided by the IECM for hypothetical plant.</t>
  </si>
  <si>
    <t>The other example uses the modeling setup that I use for flexible CCS.</t>
  </si>
  <si>
    <t>ton/MWh</t>
  </si>
  <si>
    <t xml:space="preserve">Continuous solvent flow per energy output to grid (net), CO2 capture system, and regenerator </t>
  </si>
  <si>
    <t>Gross Power (CO2 capture sys, regenerator, net to grid) (MW):</t>
  </si>
  <si>
    <t>Required Adder to Continuous Lean Solvent (tons):</t>
  </si>
  <si>
    <t>Required Continuous Solvent for Gross Power Output (Not Applicable During Stored Solvent Discharge) (tons):</t>
  </si>
  <si>
    <t>NA</t>
  </si>
  <si>
    <t>Total Mass Solvent Continuously Regenerated (tons):</t>
  </si>
  <si>
    <t>Mass Solvent Continuously Regenerated for Net Grid Output (tons):</t>
  </si>
  <si>
    <t>Mass Solvent Continuously Regenerated for Fuel Input to Store Solvent (tons):</t>
  </si>
  <si>
    <t>Ratio of E to Continuously Regenerate Lean Solvent to Gross Power (E to Grid + CO2 Cap Sys + Regenerator) (MWh/MWh) (SHOULD BE CONSTANT):</t>
  </si>
  <si>
    <t>Ratio of E to CO2 Capture System to Continuously Regenerate Lean Solvent to Gross Power (E to Grid + CO2 Cap Sys + Regenerator) (MWh/MWh) (SHOULD BE CONSTANT):</t>
  </si>
  <si>
    <t>TOTAL CHANGE IN REVENUES</t>
  </si>
  <si>
    <t>CO2 Capture System Power Use, Continuous Regen, for E to Store Lean Solvent (MW):</t>
  </si>
  <si>
    <t>Ratio of E to CO2 Capture Sys to Continually Regenerate Solvent Used to Capture CO2 from E for Stored Lean Solvent to E to Capture Sys for Stored Lean Solvent (MWh/MWh):</t>
  </si>
  <si>
    <t xml:space="preserve">Ratio of E to CO2 Capture Sys to Continually Regenerate Solvent Used to Capture CO2 from E for Stored Lean Solvent to E to </t>
  </si>
  <si>
    <t>Capture Sys for Stored Lean Solvent (MWh/MWh):</t>
  </si>
  <si>
    <t>E to Continuous Solvent Regen for E to Grid (MWh):</t>
  </si>
  <si>
    <t>E to Continuous Solvent Regen for E for Regen Stored Lean Solvent (MWh):</t>
  </si>
  <si>
    <t>[same as above b/c internal to base CCS facility]</t>
  </si>
  <si>
    <t>[smaller than above b/c using scaled-down pump system]</t>
  </si>
  <si>
    <t>[same values as above b/c at base CCS facility]</t>
  </si>
  <si>
    <t>[same value in hour 3 as above as intended]</t>
  </si>
  <si>
    <t>[smaller than above b/c using scaled-down pump sys &amp; only incremental gen from pump sys, not full degree of output]</t>
  </si>
  <si>
    <t>Reran calculations on NumericExampleV2 sheet with a different tank size to check whether the ratio in cell V45 (E to  capture CO2 from fuel used to store lean solvent to E used to store lean solvent) is the same.</t>
  </si>
  <si>
    <r>
      <t xml:space="preserve">For plant w/ CCS @ 450 MW gross output &amp; </t>
    </r>
    <r>
      <rPr>
        <i/>
        <sz val="11"/>
        <color theme="1"/>
        <rFont val="Calibri"/>
        <family val="2"/>
        <scheme val="minor"/>
      </rPr>
      <t>bituminous</t>
    </r>
    <r>
      <rPr>
        <sz val="11"/>
        <color theme="1"/>
        <rFont val="Calibri"/>
        <family val="2"/>
        <scheme val="minor"/>
      </rPr>
      <t xml:space="preserve"> fuel</t>
    </r>
  </si>
  <si>
    <r>
      <t xml:space="preserve">For plant w/ CCS @ 450 MW gross output &amp; </t>
    </r>
    <r>
      <rPr>
        <i/>
        <sz val="11"/>
        <color theme="1"/>
        <rFont val="Calibri"/>
        <family val="2"/>
        <scheme val="minor"/>
      </rPr>
      <t>subbituminous</t>
    </r>
    <r>
      <rPr>
        <sz val="11"/>
        <color theme="1"/>
        <rFont val="Calibri"/>
        <family val="2"/>
        <scheme val="minor"/>
      </rPr>
      <t xml:space="preserve"> fuel</t>
    </r>
  </si>
  <si>
    <t>Change in Net Output as %</t>
  </si>
  <si>
    <t>Max Net Capacity (MW)</t>
  </si>
  <si>
    <t>Pre-CCS Net Capacity (MW)</t>
  </si>
  <si>
    <t>Net Capacity w/ CCS (MW)</t>
  </si>
  <si>
    <t>Percent Change in Gen w/ Flex CCS vs. Nonflex CCS</t>
  </si>
  <si>
    <t>Net energy delivered to grid per unit energy used in CO2 capture system (including regenerator) [constant 'd' in slide 9 on accompanying slide deck]</t>
  </si>
  <si>
    <t>[Constant 'Y' on slide 17 in accompanying slide deck]</t>
  </si>
  <si>
    <t>Change in Net Power Delivery to Grid from Cont. Nonflex CCS ops</t>
  </si>
  <si>
    <t>% Change in Net Power Output</t>
  </si>
  <si>
    <t>Gross Power Output (MW):</t>
  </si>
  <si>
    <t>Total Gross Output (MW)</t>
  </si>
  <si>
    <t xml:space="preserve">This sheet provides example calculations of flexible CCS using only the parameters and relationships that I use in PLEXOS. </t>
  </si>
  <si>
    <t>CONSTRAINTS</t>
  </si>
  <si>
    <t>p_extra = (A-1)*p_pump</t>
  </si>
  <si>
    <t>A=</t>
  </si>
  <si>
    <t>p_base = P_base - B*E*(1+D)*m_pump</t>
  </si>
  <si>
    <t>E =</t>
  </si>
  <si>
    <t>B=</t>
  </si>
  <si>
    <t>D=</t>
  </si>
  <si>
    <t>(1+D)*E*m_pump + HRP*p_base = HRP*P_base</t>
  </si>
  <si>
    <t>PLANT PARAMETERS</t>
  </si>
  <si>
    <t>Pre-CCS Net Output (MW)</t>
  </si>
  <si>
    <t>FLEX CCS CONSTANTS</t>
  </si>
  <si>
    <t>Post-CCS Net Output (MW)</t>
  </si>
  <si>
    <t>CCS Heat Rate Penalty</t>
  </si>
  <si>
    <t>CCS Capacity Penalty</t>
  </si>
  <si>
    <t>Pump Load (MW):</t>
  </si>
  <si>
    <t>Pump Generation (MW):</t>
  </si>
  <si>
    <t>Generation from Extra Generator (MW):</t>
  </si>
  <si>
    <t>Total Net Output (MW):</t>
  </si>
  <si>
    <t>Total Discharge with Stored Lean (MW):</t>
  </si>
  <si>
    <t>FLEX CCS PARAMETERS</t>
  </si>
  <si>
    <t>Pump Load (MW)</t>
  </si>
  <si>
    <t>% of Stored Lean Solvent Discharged at Max Output that Can Be Stored in 1 Hour</t>
  </si>
  <si>
    <t>Heat Rate Penalty Reduction (%)</t>
  </si>
  <si>
    <t>Capacity Penalty Reduction (%)</t>
  </si>
  <si>
    <t>Net Output with Stored Lean Solvent (MW)</t>
  </si>
  <si>
    <t>Incremental Gen with Stored Lean Solvent (MW)</t>
  </si>
  <si>
    <t>Net E to Grid / Ton Stored Lean Solvent Discharged (MWh/tons)</t>
  </si>
  <si>
    <t>E to CO2 Capture System Exc. Regenerator / Tons Lean Solvent Discharged in Normal CCS Operations (MWh/tons)</t>
  </si>
  <si>
    <t>Base CCS Output (MW):</t>
  </si>
  <si>
    <t>Fuel Use, Gen w/ Stored Lean (MMBtu):</t>
  </si>
  <si>
    <t>Generation at Pump Dummy (MW):</t>
  </si>
  <si>
    <t>Generation for Solvent to Bind CO2 for Fuel for Stored Lean Solvent (MW):</t>
  </si>
  <si>
    <t>Actual Pump Load (MW):</t>
  </si>
  <si>
    <t>Actual Generation for Solvent to Bind CO2 for Fuel for Stored Lean Solvent (MW):</t>
  </si>
  <si>
    <t>Fuel Use, Gen for Solv to Bind CO2 for Fuel for Stored Lean Solvent (MMBtu):</t>
  </si>
  <si>
    <t>ParameterEstimation650MWPlant</t>
  </si>
  <si>
    <t>This sheet estimates the parameters necessary to model flexible CCS using IECM results for a 650 MW gross (pre-CCS) plant.</t>
  </si>
  <si>
    <t>ExAsModeledInPLEXOS</t>
  </si>
  <si>
    <t>Under construction - ignore this sheet</t>
  </si>
  <si>
    <t>NumericExampleV2DiffTankSize</t>
  </si>
  <si>
    <t xml:space="preserve">Repeats calculations that are in NumericExampleV2, but using a different lean and rich solvent tank size (for stored solvent). </t>
  </si>
  <si>
    <t>Ratio of E to CO2 Capture Sys to Continually Regenerate Solvent Used to Capture CO2 from E for Stored Lean Solvent to E to Capture Sys for Stored Lean Solvent (MWh/MWh)</t>
  </si>
  <si>
    <t>Purpose of the sheet is to see if the parameter in below cell changes w/ different tank size (IT DOES NOT).</t>
  </si>
  <si>
    <t>These sheets are then repeated using a 450 MW gross (pre-CCS) plant to see what parameters change for a lower gross plant size.</t>
  </si>
  <si>
    <t>Answer: the constants that I care about DO NOT change at different gross plant sizes.</t>
  </si>
  <si>
    <t>Incremental net energy delivered to grid using stored lean solvent per unit of energy input to CO2 capture system to generate requisite amount of stored lean solvent</t>
  </si>
  <si>
    <t>Incremental net energy delivered to grid while discharging stored lean solvent per unit of stored lean solvent used.</t>
  </si>
  <si>
    <t>[Manually calculated through iterative procedure; set value to that in prior row ('Total Mass Solvent Continuously Regenerated'), then subtract value below in 'Required Adder to Continuous Lean Solvent' row iteratively until that value = 1.]</t>
  </si>
  <si>
    <t>tons fuel / MWh</t>
  </si>
  <si>
    <t>Using that value, know for each ton of to-be-stored lean solvent want to regenerate, how many tons of fuel required</t>
  </si>
  <si>
    <t>required tons of fuel</t>
  </si>
  <si>
    <t>To know that, need to know how many tons of solvent is required to capture CO2 emissions from some amount of fuel input</t>
  </si>
  <si>
    <t>Convert value to tons fuel to provide energy to regenerate solvent / tons solvent using MWh energy input required to regenerate 1 ton of solvent</t>
  </si>
  <si>
    <t>tons fuel / ton solvent regenerated</t>
  </si>
  <si>
    <t>tons solvent / ton fuel's co2 emissions</t>
  </si>
  <si>
    <t>Ex:</t>
  </si>
  <si>
    <t>So, need ~24 tons of solvent to capture CO2 emissions from a single ton of fuel input</t>
  </si>
  <si>
    <t>And we know how much MWh required to regenerate 1 ton of solvent, so can get a MWh value for that solvent</t>
  </si>
  <si>
    <t>ton extra solvent necessary / ton solvent to be stored regenerated</t>
  </si>
  <si>
    <t>to-be-stored tons of lean solvent</t>
  </si>
  <si>
    <t>Now need to know additional fuel input to capture CO2 from fuel used to regenerate to-be-stored lean solvent</t>
  </si>
  <si>
    <t>Multiplying required fuel to get to-be-stored lean solvent by tons solvent necessary to capture co2 from some amount of fuel input, can get extra tons of solvent needed per ton of to-be-stored-lean-solvent regenerated</t>
  </si>
  <si>
    <t>And I know how much energy it takes to regenerate one ton of to-be-stored solvent, so I can calculate the ratio of MWh for extra solvent to MWh for to-be-stored solvent</t>
  </si>
  <si>
    <t>MWh for extra solvent / ton solvent to be stored regenerated</t>
  </si>
  <si>
    <t>MWh for extra solvent / MWh for solvent to be regenerated</t>
  </si>
  <si>
    <t>[since using same MWh/ton solvent ratio for numerator and denominator, above value is the value as 'ton extra solvent / ton solvent ot be regenerated' value[</t>
  </si>
  <si>
    <t>Gross Heat Rate = Fuel In / (Gross Output) = Fuel In / (Pgrid + Pco2 + Pregen)</t>
  </si>
  <si>
    <t>[This includes energy to the regenerator!]</t>
  </si>
  <si>
    <t>Determining Extra Solvent Needed to Capture CO2 from Fuel Used to Regenerate Stored Lean Solvent</t>
  </si>
  <si>
    <t>CCS Operations While Discharging Stored Lean Solvent</t>
  </si>
  <si>
    <t>Continuous (Normal) CCS Operations</t>
  </si>
  <si>
    <t xml:space="preserve">This section tests different parameter values in IECM to model flexible CCS </t>
  </si>
  <si>
    <t>Determining parameters for base CCS facility and flexible CCS facility using IECM results for a 650 MW gross plant</t>
  </si>
  <si>
    <t>burning sub-bit. or bit. fuel and at constant fuel input.</t>
  </si>
  <si>
    <t>Mean:</t>
  </si>
  <si>
    <t>operations while discharging stored lean solvent. These values are then used in IECM</t>
  </si>
  <si>
    <t>to generate the 'CCS, Discharging Stored Lean Solvent' plant in blue area at left.</t>
  </si>
  <si>
    <t>CCS, Discharging Stored Lean Solvent</t>
  </si>
  <si>
    <t>Capac Pen, Base -&gt; CCS (%)</t>
  </si>
  <si>
    <t>Plant Parameters w/ CCS While Discharging  Stored Lean Solvent</t>
  </si>
  <si>
    <t>Plant Parameters w/ CCS While Charging Stored Lean Solvent</t>
  </si>
  <si>
    <t>tons fuel / ton solvent regenerated (continuously or for storage)</t>
  </si>
  <si>
    <t>Fuel for Net Power Output (tons):</t>
  </si>
  <si>
    <t>Fuel for Continuous Solvent Regen (tons):</t>
  </si>
  <si>
    <t>Fuel for Stored Solvent Regen (tons):</t>
  </si>
  <si>
    <t>Total Fuel (tons):</t>
  </si>
  <si>
    <t>Gross Heat Rate</t>
  </si>
  <si>
    <t>tons fuel/MWh</t>
  </si>
  <si>
    <t>ton fuel/ton solvent</t>
  </si>
  <si>
    <t>ton solvent/ton solvent</t>
  </si>
  <si>
    <t>Net Heat Rate = Fuel In / Net Grid Output</t>
  </si>
  <si>
    <t>Net heat rate</t>
  </si>
  <si>
    <t>Fuel for Discharged Stored Lean Solvent (tons):</t>
  </si>
  <si>
    <t>[this assumes that part of fuel input is used to generate that lean]</t>
  </si>
  <si>
    <t>[SEE CALCULATION STEPS BELOW]</t>
  </si>
  <si>
    <t>Now get extra tons of solvent needed per ton of to-be-stored-lean-solvent regenerated - see calculation steps below. Scalar = (X/(1/Z-X)).</t>
  </si>
  <si>
    <t>CALCULATION STEPS FOR TON EXTRA SOLVENT / TON SOLVENT TO BE STORED REGENERATED</t>
  </si>
  <si>
    <t>X = tons fuel / ton solvent regenerated</t>
  </si>
  <si>
    <t>Z = tons solvent / ton fuel's CO2 emissions</t>
  </si>
  <si>
    <t>A = amount of extra solvent regenerated to capture CO2 emissions from fuel used to regenerate to-be-stored lean solvent</t>
  </si>
  <si>
    <t>B = amount of to-be-stored lean solvent regenerated</t>
  </si>
  <si>
    <t>Total Fuel Consumption = X*A + X*B</t>
  </si>
  <si>
    <t>Only A captures CO2 emissions, not B. So - how much B is necessary to capture CO2?</t>
  </si>
  <si>
    <t>B* (1/Z) = Total Fuel Consumption = X*A + X*B</t>
  </si>
  <si>
    <t>B*(1/Z-X) = X*A</t>
  </si>
  <si>
    <t>B=X*A/(1/Z-X)</t>
  </si>
  <si>
    <t>B=(X/(1/Z-X))*A</t>
  </si>
  <si>
    <t>So the relevant scalar between extra solvent needed to capture CO2 from fuel used to generate to-be-stored lean solvent is:</t>
  </si>
  <si>
    <t>X/(1/Z-X))</t>
  </si>
  <si>
    <t>B*(1/Z) = quantity of fuel from which CO2 emissions are captured by B</t>
  </si>
  <si>
    <t>Quantity of fuel from which CO2 emissions must be captured is entire fuel input for A and B (since A does not contribute at all to capturing CO2). Thus:</t>
  </si>
  <si>
    <t>from Cont. Nonflex CCS ops</t>
  </si>
  <si>
    <t>IGNORE THIS BOX</t>
  </si>
  <si>
    <t>Post-CCS Net Heat Rate (MMBtu/MWh)</t>
  </si>
  <si>
    <t>Post-CCS Gross Heat Rate (MMBtu/MWh)</t>
  </si>
  <si>
    <t>Flex CCS Net Heat Rate When Discharging Stored Lean Solvent (MMBtu/MWh)</t>
  </si>
  <si>
    <t>FUEL HEAT CONTENT</t>
  </si>
  <si>
    <t>Assume Appalachian Low Sulfur (bituminous)</t>
  </si>
  <si>
    <t>From IECM</t>
  </si>
  <si>
    <t>Heating Value = Total Plant Input (MMBtu/hr) / Fuel Flow Rate (tons/hr)</t>
  </si>
  <si>
    <t>Heating Value (MMBtu/ton)</t>
  </si>
  <si>
    <t>Heating Value (Btu/lb)</t>
  </si>
  <si>
    <t>Total Fuel Use, Gross Heat Rate (tons):</t>
  </si>
  <si>
    <t>Total Fuel Use, Net Heat Rate (tons):</t>
  </si>
  <si>
    <t>Total Fuel Use, Net Heat Rate (MMBtu):</t>
  </si>
  <si>
    <t>Total Fuel Use, Gross Heat Rate (MMBtu):</t>
  </si>
  <si>
    <t>*Use 4.7 MW for pump load to mimic left set of calculations in sheet 'NumericExample650MW'</t>
  </si>
  <si>
    <t>Check this against 'NumericExample650MW' to see if roughly the same. (Whether check against left or right side set of calculations depends on Pump Load value chosen; see note to right of time series data.)</t>
  </si>
  <si>
    <t>*Use max pump load (~6.966 MW) to mimic right set of calculations in sheet 'NumericExample650MW'</t>
  </si>
  <si>
    <t>Sources of Fuel Use</t>
  </si>
  <si>
    <t>Net power to grid</t>
  </si>
  <si>
    <t>Stored lean solvent</t>
  </si>
  <si>
    <t>Solvent to capture CO2 from fuel for stored lean solvent</t>
  </si>
  <si>
    <t>Power to CO2 capture system for solvent for net power to grid</t>
  </si>
  <si>
    <t>Net power to grid from base CCS facility</t>
  </si>
  <si>
    <t>Net power to grid from discharged stored lean solvent</t>
  </si>
  <si>
    <t>Fuel Use, Storing Lean Solvent (i.e., from Pump Dummy) (MMBtu):</t>
  </si>
  <si>
    <t>Fuel Use, Base CCS Plant using Net Heat Rate (MMBtu):</t>
  </si>
  <si>
    <t>Fuel Use, Base CCS Plant using Gross Heat Rate (MMBtu):</t>
  </si>
  <si>
    <t>FUEL USE</t>
  </si>
  <si>
    <t>ELECTRICITY GENERATION</t>
  </si>
  <si>
    <t>[accounted for already in above row through (1+D) term]</t>
  </si>
  <si>
    <t>[scale up to "true" pump load, then calculate fuel use]</t>
  </si>
  <si>
    <t>[This is captured w/ net power to grid by using net heat rate at base facility]</t>
  </si>
  <si>
    <t>[Prior two fuel sources are both captured in Fuel Use, Storing Lean Solvent]</t>
  </si>
  <si>
    <t>[needs to have separate term for fuel use in co2 capture sytsem of continuous generation]</t>
  </si>
  <si>
    <t>Fuel Use, Net Heat Rate, Base CCS (tons):</t>
  </si>
  <si>
    <t>Fuel Use, Gen w/ Stored Lean (tons):</t>
  </si>
  <si>
    <t>Fuel Use, Storing Lean Solvent (tons):</t>
  </si>
  <si>
    <t>Fuel for Net Power Output Toal (tons):</t>
  </si>
  <si>
    <t>FROM OTHER SHEET</t>
  </si>
  <si>
    <t>Net power output very similar on regular hours</t>
  </si>
  <si>
    <t>Joint fuel consumption of base CCS + discharged lean similar</t>
  </si>
  <si>
    <t>IECM Gross HR (ton/MWh)</t>
  </si>
  <si>
    <t>Gross HR (ton/MWh)</t>
  </si>
  <si>
    <t>[Not inc. regenerator E input.]</t>
  </si>
  <si>
    <t>E to Regenerator / E to CO2 Capture System (MWh/MWh)</t>
  </si>
  <si>
    <t>Stored solvent regen higher than it should be</t>
  </si>
  <si>
    <t>But share of fuel consumption when charging roughly equal in both calculations</t>
  </si>
  <si>
    <t>During discharge, fuel output too high (b/c fuel use at base CCS facility too high)</t>
  </si>
  <si>
    <t>burning sub-bit. or bit. fuel and at constant fuel input. Crucially, heat rate here is set to roughly 10,000 Btu/kWh.</t>
  </si>
  <si>
    <t>Boiler Efficiency: 70%</t>
  </si>
  <si>
    <t>Uses a high heat rate!</t>
  </si>
  <si>
    <t>Plant specification: CCS plant type on 'ParameterEstimation650MWHighHR' sheet, bituminous coal</t>
  </si>
  <si>
    <t>Plant specification: CCS plant type on 'ParameterEstimation650MWPlant', bituminous coal</t>
  </si>
  <si>
    <t>Boiler Efficiency: 89.64% (default)</t>
  </si>
  <si>
    <t>Boiler Efficiency: 80%</t>
  </si>
  <si>
    <t>This sheet collects parameter estimates for 650 MW gross facilities at different heat rates to see what relationship, if any, exists between heat rate and parameter values.</t>
  </si>
  <si>
    <t>Heat Rate (given as boiler eff)</t>
  </si>
  <si>
    <t>HV</t>
  </si>
  <si>
    <t>MMBtu/MWh</t>
  </si>
  <si>
    <t>528 MW excludes the regenerator load</t>
  </si>
  <si>
    <t>Fuel for Vented Power Gen (tons):</t>
  </si>
  <si>
    <t>CO2 Emissions from Vented Gen (tons):</t>
  </si>
  <si>
    <t>Tons CO2 Emissions per Ton Wyoming PRB Burned (ton/ton):</t>
  </si>
  <si>
    <t>Electricity from Extra Fuel (MWh):</t>
  </si>
  <si>
    <t>[= diff in elec gen now &amp; last hr]</t>
  </si>
  <si>
    <t>Revenues from Electricity ($):</t>
  </si>
  <si>
    <t>Electricity Price ($/MWh):</t>
  </si>
  <si>
    <t>Cost of CO2 Emissions ($):</t>
  </si>
  <si>
    <t>CO2 Price ($/ton):</t>
  </si>
  <si>
    <t>IECM Delivered Coal Cots ($/ton):</t>
  </si>
  <si>
    <t>IECM Fuel Heating Value (Btu/lb):</t>
  </si>
  <si>
    <t>External Coal Price ($/MMBtu):</t>
  </si>
  <si>
    <t>Coal Cost using External Coal Price ($/ton):</t>
  </si>
  <si>
    <t>[assuming 2000 lb/ton]</t>
  </si>
  <si>
    <t>Cost of Fuel ($):</t>
  </si>
  <si>
    <t>Net Revenues from Vented Gen ($):</t>
  </si>
  <si>
    <t>Positive by long shot</t>
  </si>
  <si>
    <t>How much CO2 would that generate from venting?</t>
  </si>
  <si>
    <t>Would need to do ~14000/3000 or 4.7 charge cycles like above per day.</t>
  </si>
  <si>
    <t>Lets assume generator fills solvent tank every day (2 hours at full load, so ~14,000 tons).</t>
  </si>
  <si>
    <t>Total CO2 Emissions (tons):</t>
  </si>
  <si>
    <t>Total Fuel for Vented Power Gen per Day (tons):</t>
  </si>
  <si>
    <t>Total Fuel for Vented Power Gen per Year (tons):</t>
  </si>
  <si>
    <t>kg</t>
  </si>
  <si>
    <t>Total CO2 Emissions, Base Case w/ CO2 Price, From CPP-Affected Units (tons):</t>
  </si>
  <si>
    <t>Total CO2 Emissions, Base Case w/ CO2 Price, From Non-CPP-Affected Units (tons):</t>
  </si>
  <si>
    <t>Total CO2 Emissions, Annual (tons):</t>
  </si>
  <si>
    <t>ton</t>
  </si>
  <si>
    <t>Total CO2 Emissions from 1 Flex CCS Generator as % Of Total Emissions (tons):</t>
  </si>
  <si>
    <t>Lets further assume that we will have 6 GW (net) of flexible CCS generators, and each also fully charges</t>
  </si>
  <si>
    <t>each day. So lets multiply above value by ~6GW/0.455GW = 13.19.</t>
  </si>
  <si>
    <t>Total CO2 Emissions, All Flex CCS Generators (tons):</t>
  </si>
  <si>
    <t>Percent of Energy Use in CO2 Capture Excluding Regenerator by Absorber (%):</t>
  </si>
  <si>
    <t>[adjust downward to account for fact that 17% of power is used in absorber, and that power is not used when continuously regenerating solvent]</t>
  </si>
  <si>
    <t>This value assumes full operation of absorber!</t>
  </si>
  <si>
    <t>Fuel Use Accounting for No Power Use in Absorber for Stored Lean Solvent</t>
  </si>
  <si>
    <t>Fuel for Total Solvent Regen (tons):</t>
  </si>
  <si>
    <t>Difference in Fuel Between Two Approaches (tons):</t>
  </si>
  <si>
    <t>Net Electricity from Extra Fuel (MWh):</t>
  </si>
  <si>
    <t>Total Net Electricity (MWh):</t>
  </si>
  <si>
    <t>Difference in Net Electricity Generation when Account for Lower Absorber Load (MWh):</t>
  </si>
  <si>
    <t>This is a numeric example to compare power generation over time for a non-flexible and flexible CCS plant. This sheet accounts for no absorber load from solvent regenerated for storage, and calculates difference in</t>
  </si>
  <si>
    <t xml:space="preserve">net output to grid if assume venting of flue gas when you account for that difference in absorber load. </t>
  </si>
  <si>
    <t xml:space="preserve">During charging, input constant fuel &amp; vent CO2 from that extra fuel. </t>
  </si>
  <si>
    <t>NumericExample650MW</t>
  </si>
  <si>
    <t>This sheet accounts for additional solvent that must be continuously regenerated to capture CO2 from the fuel burned for the energy used to store lean solvent. Does so using manual iterations.</t>
  </si>
  <si>
    <t>NumericExample650MWVent</t>
  </si>
  <si>
    <t>NumericExample650MWAbsorber</t>
  </si>
  <si>
    <t>This sheet is same as prior sheet with two exceptions. First, calculates amount of solvent necessary to capture CO2 form fuel used to store lean solvent using ratio calcultaed in ParameterEstimation page.</t>
  </si>
  <si>
    <t>Second, assumes fuel input is contsant across hours, meaning that when charging stored lean solvent, some fuel is burned from which CO2 is not captured; that CO2 is vented.</t>
  </si>
  <si>
    <t>This sheet is the same as prior sheet, but accounts for the fact that the absorber does not need to be run for lean solvent that is stored.</t>
  </si>
  <si>
    <t>This means that the parasitic load of the CO2 capture system is a little lower than in the prior sheet; I adjust the CO2 capture system load to account for this lower absorbe rpower demand.</t>
  </si>
  <si>
    <t xml:space="preserve">In general, find that absorber load change is negligible;  results in 3 MW increase from 455 MW to grid. </t>
  </si>
  <si>
    <t>This is good, because can't model varying HR anyways.</t>
  </si>
  <si>
    <t>CCS Net Heat Rate (MMBtu/MWh)</t>
  </si>
  <si>
    <t>Pre-CCS Net Heat Rate (MMBtu/MWh)</t>
  </si>
  <si>
    <t>Pre-CCS Gross Heat Rate (MMBtu/MWh)</t>
  </si>
  <si>
    <t>CCS Gross Heat Rate (MMBtu/MWh)</t>
  </si>
  <si>
    <t>Heat Rate Penalty (%)</t>
  </si>
  <si>
    <t>Generation from Vented CO2 While Charging (MW):</t>
  </si>
  <si>
    <t>Fuel Use, Venting Gen (tons):</t>
  </si>
  <si>
    <t>Fuel Use, Total Net Power to Grid (tons):</t>
  </si>
  <si>
    <t>Total Fuel Use (tons):</t>
  </si>
  <si>
    <t>Fuel Use, Venting Gen (MMBtu):</t>
  </si>
  <si>
    <t>FUEL PRICE</t>
  </si>
  <si>
    <t>Fuel price for extra generator during discharge ($/ton)</t>
  </si>
  <si>
    <t>Operational Cost, Base CCS Gen ($):</t>
  </si>
  <si>
    <t>Operational Cost, Vent Gen ($):</t>
  </si>
  <si>
    <t>Operational Cost, Pump Gen ($):</t>
  </si>
  <si>
    <t>Operational Cost, Extra Gen when Discharging ($):</t>
  </si>
  <si>
    <t>Total Operational Cost ($):</t>
  </si>
  <si>
    <t>PLANT VOM</t>
  </si>
  <si>
    <t>Variable O&amp;M cost for all plants ($/MWh)</t>
  </si>
  <si>
    <t>Fuel price for base CCS and pump facility and venting gen($/ton)</t>
  </si>
  <si>
    <t>This sheet assumes venting is done when charging stored lean solvent, such that fuel input remains the same. In this sheet, that generation from vented CO2 comes from base CCS facility, which has a higher net heat rate than it should when venting, so fuel use is larger than in other sheet.</t>
  </si>
  <si>
    <t>This sheet assumes venting is done when charging stored lean solvent, such that fuel input remains the same. In this sheet, that generation from vented CO2 is done at venting generator, so fuel use is closer to what it should be.</t>
  </si>
  <si>
    <t>FLEXCCSPARAMETERS</t>
  </si>
  <si>
    <t>This sheet has all of the needed flexible CCS parameters for bituminous &amp; subbituminous fuel at 3 different plant efficiencies</t>
  </si>
  <si>
    <t>Plant efficiencies are implemented in IECM through selection of subcritical, supercritical, or ultra-supercritical plant.</t>
  </si>
  <si>
    <t xml:space="preserve">All plants are equipped with: </t>
  </si>
  <si>
    <t>All plants pre-CCS have a gross output of 650 MW.</t>
  </si>
  <si>
    <t>Fuel Type</t>
  </si>
  <si>
    <t>Flex CCS Value</t>
  </si>
  <si>
    <t>Subbit</t>
  </si>
  <si>
    <t>Bit</t>
  </si>
  <si>
    <t>Subcritical</t>
  </si>
  <si>
    <t>Supercritical</t>
  </si>
  <si>
    <t>Ultra-supercritical</t>
  </si>
  <si>
    <t>Coal Plant Type</t>
  </si>
  <si>
    <t>CCS Configuration</t>
  </si>
  <si>
    <t>Subbituminous</t>
  </si>
  <si>
    <t>Bituminous</t>
  </si>
  <si>
    <t>Flex CCS</t>
  </si>
  <si>
    <t>Subbituminous fuel is Wyoming PRB; bituminous is Illinois #6.</t>
  </si>
  <si>
    <t>Each sheet includes parameters for base plant, plant w/ CCS, and plant w/ flexible CCS when it's dischargin lean solvent.</t>
  </si>
  <si>
    <t>The CO2 capture system parameters used to create a plant that mimics flex CCS operations when discharing</t>
  </si>
  <si>
    <t xml:space="preserve">stored lean solvent are shown to right in the green box. </t>
  </si>
  <si>
    <t>Note that the Regenerator Heat Requirement (under Capture tab) is always set to 1E-2.</t>
  </si>
  <si>
    <t>The two parameters at right are varied such that the 'Flex CO2 Capture System Use' - that is,</t>
  </si>
  <si>
    <t>the energy used by the co2 capture system when discharing lean solvent - equals 10%</t>
  </si>
  <si>
    <t>of the original CO2 capture system use, as during discharge of stored lean solvent,</t>
  </si>
  <si>
    <t>all but 10% of the load of the CO2 capture system is eliminated.</t>
  </si>
  <si>
    <t>CCS Net Capacity Penalty (%)</t>
  </si>
  <si>
    <t>Gross HR (Btu/kWh)</t>
  </si>
  <si>
    <t>Net HR (Btu/kWh)</t>
  </si>
  <si>
    <t>IECM files available at: C:\Users\mcraig10\Desktop\EPP Research\Flexible CCS Excel Model\IECMFiles.sdb</t>
  </si>
  <si>
    <t>CCS Net HR Penalty (%)</t>
  </si>
  <si>
    <t>CCS Net Capacity Penalty (MW)</t>
  </si>
  <si>
    <t>Net E to Grid / E to CO2 Cap+Regen (MWh/MWh)</t>
  </si>
  <si>
    <t>Regenerator Size (MW)</t>
  </si>
  <si>
    <t>Solvent Flow/E to CO2Cap+Regen (ton/MWh)</t>
  </si>
  <si>
    <t>E to Regenerator/E to CO2Cap (MWh/MWh)</t>
  </si>
  <si>
    <t>Net E to Grid When Discharging Stored Lean/Ton Stored Lean Solvent Discharged (MWh/ton)</t>
  </si>
  <si>
    <t>Net E to Grid When Discharging Stored Lean/E Used to Store Lean Solvent (MWh/MWh)</t>
  </si>
  <si>
    <t>Tons Solvent/Ton Fuel Burned (ton/MMBtu)</t>
  </si>
  <si>
    <t>Gross HR (tons/MWh)</t>
  </si>
  <si>
    <t>Tons Fuel Input/Ton Solvent Regenerated (MMBtu/ton)</t>
  </si>
  <si>
    <t>E for Solvent to Capture CO2 from Fuel for To-Be-Stored Lean/E to Store Lean Solvent (MWh/MWh)</t>
  </si>
  <si>
    <t>Base Plant Net HR (Btu/kWh)</t>
  </si>
  <si>
    <t>CCS Net HR (Btu/kWh)</t>
  </si>
  <si>
    <t>CCS w/ Discharged Stored Lean Solvent Net HR Penalty (%)</t>
  </si>
  <si>
    <t>CCS w/ Discharged Stored Lean Solvent Capacity Penalty (%)</t>
  </si>
  <si>
    <t>PARAMETER VALUES FOR MATLAB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</si>
</sst>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
    <numFmt numFmtId="167" formatCode="0.0"/>
    <numFmt numFmtId="168" formatCode="0.0000%"/>
  </numFmts>
  <fonts count="15"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sz val="11"/>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1"/>
      <color rgb="FF7030A0"/>
      <name val="Calibri"/>
      <family val="2"/>
      <scheme val="minor"/>
    </font>
    <font>
      <b/>
      <sz val="11"/>
      <color rgb="FF7030A0"/>
      <name val="Calibri"/>
      <family val="2"/>
      <scheme val="minor"/>
    </font>
    <font>
      <b/>
      <sz val="11"/>
      <color rgb="FFFF0000"/>
      <name val="Calibri"/>
      <family val="2"/>
      <scheme val="minor"/>
    </font>
    <font>
      <i/>
      <sz val="11"/>
      <color rgb="FF7030A0"/>
      <name val="Calibri"/>
      <family val="2"/>
      <scheme val="minor"/>
    </font>
    <font>
      <b/>
      <i/>
      <sz val="11"/>
      <color rgb="FF7030A0"/>
      <name val="Calibri"/>
      <family val="2"/>
      <scheme val="minor"/>
    </font>
    <font>
      <b/>
      <i/>
      <sz val="11"/>
      <color theme="1"/>
      <name val="Calibri"/>
      <family val="2"/>
      <scheme val="minor"/>
    </font>
    <font>
      <b/>
      <sz val="16"/>
      <color theme="1"/>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7" tint="0.59999389629810485"/>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84">
    <xf numFmtId="0" fontId="0" fillId="0" borderId="0" xfId="0"/>
    <xf numFmtId="0" fontId="0" fillId="2" borderId="0" xfId="0" applyFill="1"/>
    <xf numFmtId="0" fontId="0" fillId="2" borderId="0" xfId="0" applyFill="1" applyAlignment="1">
      <alignment wrapText="1"/>
    </xf>
    <xf numFmtId="9" fontId="0" fillId="2" borderId="0" xfId="0" applyNumberFormat="1" applyFill="1"/>
    <xf numFmtId="0" fontId="1" fillId="2" borderId="0" xfId="0" applyFont="1" applyFill="1"/>
    <xf numFmtId="0" fontId="0" fillId="3" borderId="0" xfId="0" applyFill="1"/>
    <xf numFmtId="0" fontId="0" fillId="2" borderId="0" xfId="0" applyFill="1" applyAlignment="1"/>
    <xf numFmtId="0" fontId="2" fillId="0" borderId="0" xfId="0" applyFont="1"/>
    <xf numFmtId="0" fontId="0" fillId="4" borderId="0" xfId="0" applyFill="1"/>
    <xf numFmtId="0" fontId="0" fillId="0" borderId="0" xfId="0" applyAlignment="1">
      <alignment wrapText="1"/>
    </xf>
    <xf numFmtId="0" fontId="0" fillId="0" borderId="0" xfId="0" applyFill="1"/>
    <xf numFmtId="0" fontId="1" fillId="5" borderId="0" xfId="0" applyFont="1" applyFill="1"/>
    <xf numFmtId="0" fontId="1" fillId="6" borderId="0" xfId="0" applyFont="1" applyFill="1"/>
    <xf numFmtId="0" fontId="0" fillId="5" borderId="0" xfId="0" applyFill="1"/>
    <xf numFmtId="0" fontId="0" fillId="5" borderId="0" xfId="0" applyFont="1" applyFill="1"/>
    <xf numFmtId="0" fontId="0" fillId="7" borderId="0" xfId="0" applyFill="1"/>
    <xf numFmtId="0" fontId="1" fillId="7" borderId="0" xfId="0" applyFont="1" applyFill="1"/>
    <xf numFmtId="0" fontId="0" fillId="7" borderId="0" xfId="0" applyFont="1" applyFill="1"/>
    <xf numFmtId="0" fontId="0" fillId="2" borderId="0" xfId="0" applyFont="1" applyFill="1"/>
    <xf numFmtId="0" fontId="3" fillId="2" borderId="0" xfId="0" applyFont="1" applyFill="1"/>
    <xf numFmtId="0" fontId="0" fillId="4" borderId="0" xfId="0" applyFont="1" applyFill="1"/>
    <xf numFmtId="0" fontId="1" fillId="3" borderId="0" xfId="0" applyFont="1" applyFill="1"/>
    <xf numFmtId="0" fontId="1" fillId="8" borderId="0" xfId="0" applyFont="1" applyFill="1"/>
    <xf numFmtId="0" fontId="2" fillId="3" borderId="0" xfId="0" applyFont="1" applyFill="1"/>
    <xf numFmtId="0" fontId="2" fillId="7" borderId="0" xfId="0" applyFont="1" applyFill="1"/>
    <xf numFmtId="0" fontId="0" fillId="7" borderId="0" xfId="0" applyFill="1" applyAlignment="1">
      <alignment wrapText="1"/>
    </xf>
    <xf numFmtId="0" fontId="2" fillId="7" borderId="0" xfId="0" applyFont="1" applyFill="1" applyAlignment="1">
      <alignment wrapText="1"/>
    </xf>
    <xf numFmtId="0" fontId="2" fillId="5" borderId="0" xfId="0" applyFont="1" applyFill="1"/>
    <xf numFmtId="9" fontId="0" fillId="4" borderId="0" xfId="0" applyNumberFormat="1" applyFill="1"/>
    <xf numFmtId="0" fontId="1" fillId="0" borderId="0" xfId="0" applyFont="1" applyFill="1" applyAlignment="1">
      <alignment horizontal="center"/>
    </xf>
    <xf numFmtId="0" fontId="0" fillId="0" borderId="0" xfId="0" applyFill="1" applyAlignment="1">
      <alignment wrapText="1"/>
    </xf>
    <xf numFmtId="0" fontId="2" fillId="5" borderId="0" xfId="0" applyFont="1" applyFill="1" applyAlignment="1"/>
    <xf numFmtId="0" fontId="0" fillId="5" borderId="0" xfId="0" applyFill="1" applyAlignment="1">
      <alignment wrapText="1"/>
    </xf>
    <xf numFmtId="0" fontId="0" fillId="9" borderId="0" xfId="0" applyFill="1"/>
    <xf numFmtId="0" fontId="0" fillId="9" borderId="0" xfId="0" applyFont="1" applyFill="1"/>
    <xf numFmtId="0" fontId="2" fillId="7" borderId="0" xfId="0" applyFont="1" applyFill="1" applyAlignment="1"/>
    <xf numFmtId="0" fontId="4" fillId="4" borderId="0" xfId="0" applyFont="1" applyFill="1"/>
    <xf numFmtId="0" fontId="4" fillId="2" borderId="0" xfId="0" applyFont="1" applyFill="1"/>
    <xf numFmtId="0" fontId="7" fillId="9" borderId="0" xfId="0" applyFont="1" applyFill="1" applyAlignment="1">
      <alignment wrapText="1"/>
    </xf>
    <xf numFmtId="0" fontId="7" fillId="7" borderId="0" xfId="0" applyFont="1" applyFill="1"/>
    <xf numFmtId="9" fontId="4" fillId="4" borderId="0" xfId="0" applyNumberFormat="1" applyFont="1" applyFill="1"/>
    <xf numFmtId="0" fontId="9" fillId="0" borderId="0" xfId="0" applyFont="1" applyFill="1"/>
    <xf numFmtId="0" fontId="9" fillId="0" borderId="4" xfId="0" applyFont="1" applyFill="1" applyBorder="1"/>
    <xf numFmtId="0" fontId="4" fillId="4" borderId="0" xfId="0" applyFont="1" applyFill="1" applyAlignment="1">
      <alignment wrapText="1"/>
    </xf>
    <xf numFmtId="0" fontId="10" fillId="5" borderId="0" xfId="0" applyFont="1" applyFill="1"/>
    <xf numFmtId="0" fontId="10" fillId="0" borderId="12" xfId="0" applyFont="1" applyBorder="1"/>
    <xf numFmtId="0" fontId="0" fillId="3" borderId="0" xfId="0" applyFont="1" applyFill="1"/>
    <xf numFmtId="0" fontId="10" fillId="8" borderId="12" xfId="0" applyFont="1" applyFill="1" applyBorder="1"/>
    <xf numFmtId="0" fontId="2" fillId="5" borderId="13" xfId="0" applyFont="1" applyFill="1" applyBorder="1"/>
    <xf numFmtId="0" fontId="4" fillId="8" borderId="14" xfId="0" applyFont="1" applyFill="1" applyBorder="1"/>
    <xf numFmtId="0" fontId="0" fillId="5" borderId="15" xfId="0" applyFill="1" applyBorder="1"/>
    <xf numFmtId="0" fontId="0" fillId="5" borderId="16" xfId="0" applyFill="1" applyBorder="1"/>
    <xf numFmtId="0" fontId="2" fillId="5" borderId="17" xfId="0" applyFont="1" applyFill="1" applyBorder="1"/>
    <xf numFmtId="0" fontId="0" fillId="5" borderId="17" xfId="0" applyFill="1" applyBorder="1"/>
    <xf numFmtId="0" fontId="0" fillId="5" borderId="18" xfId="0" applyFill="1" applyBorder="1"/>
    <xf numFmtId="0" fontId="0" fillId="5" borderId="19" xfId="0" applyFill="1" applyBorder="1"/>
    <xf numFmtId="0" fontId="4" fillId="5" borderId="0" xfId="0" applyFont="1" applyFill="1" applyBorder="1"/>
    <xf numFmtId="0" fontId="0" fillId="5" borderId="0" xfId="0" applyFill="1" applyBorder="1"/>
    <xf numFmtId="0" fontId="0" fillId="5" borderId="20" xfId="0" applyFill="1" applyBorder="1"/>
    <xf numFmtId="0" fontId="1" fillId="0" borderId="0" xfId="0" applyFont="1"/>
    <xf numFmtId="0" fontId="8" fillId="5" borderId="1" xfId="0" applyFont="1" applyFill="1" applyBorder="1"/>
    <xf numFmtId="0" fontId="9" fillId="5" borderId="2" xfId="0" applyFont="1" applyFill="1" applyBorder="1"/>
    <xf numFmtId="0" fontId="9" fillId="5" borderId="3" xfId="0" applyFont="1" applyFill="1" applyBorder="1"/>
    <xf numFmtId="0" fontId="9" fillId="5" borderId="9" xfId="0" applyFont="1" applyFill="1" applyBorder="1"/>
    <xf numFmtId="0" fontId="9" fillId="5" borderId="4" xfId="0" applyFont="1" applyFill="1" applyBorder="1"/>
    <xf numFmtId="0" fontId="9" fillId="5" borderId="0" xfId="0" applyFont="1" applyFill="1" applyBorder="1"/>
    <xf numFmtId="0" fontId="9" fillId="5" borderId="5" xfId="0" applyFont="1" applyFill="1" applyBorder="1"/>
    <xf numFmtId="0" fontId="9" fillId="5" borderId="10" xfId="0" applyFont="1" applyFill="1" applyBorder="1"/>
    <xf numFmtId="0" fontId="8" fillId="5" borderId="10" xfId="0" applyFont="1" applyFill="1" applyBorder="1"/>
    <xf numFmtId="0" fontId="9" fillId="5" borderId="6" xfId="0" applyFont="1" applyFill="1" applyBorder="1"/>
    <xf numFmtId="0" fontId="9" fillId="5" borderId="7" xfId="0" applyFont="1" applyFill="1" applyBorder="1"/>
    <xf numFmtId="164" fontId="9" fillId="5" borderId="7" xfId="0" applyNumberFormat="1" applyFont="1" applyFill="1" applyBorder="1"/>
    <xf numFmtId="164" fontId="9" fillId="5" borderId="8" xfId="0" applyNumberFormat="1" applyFont="1" applyFill="1" applyBorder="1"/>
    <xf numFmtId="0" fontId="8" fillId="5" borderId="11" xfId="0" applyFont="1" applyFill="1" applyBorder="1"/>
    <xf numFmtId="0" fontId="0" fillId="5" borderId="11" xfId="0" applyFill="1" applyBorder="1"/>
    <xf numFmtId="0" fontId="8" fillId="5" borderId="0" xfId="0" applyFont="1" applyFill="1"/>
    <xf numFmtId="0" fontId="9" fillId="5" borderId="1" xfId="0" applyFont="1" applyFill="1" applyBorder="1"/>
    <xf numFmtId="9" fontId="9" fillId="5" borderId="7" xfId="0" applyNumberFormat="1" applyFont="1" applyFill="1" applyBorder="1"/>
    <xf numFmtId="0" fontId="9" fillId="5" borderId="4" xfId="0" applyFont="1" applyFill="1" applyBorder="1" applyAlignment="1">
      <alignment horizontal="right"/>
    </xf>
    <xf numFmtId="0" fontId="9" fillId="5" borderId="6" xfId="0" applyFont="1" applyFill="1" applyBorder="1" applyAlignment="1">
      <alignment horizontal="left"/>
    </xf>
    <xf numFmtId="2" fontId="9" fillId="5" borderId="8" xfId="0" applyNumberFormat="1" applyFont="1" applyFill="1" applyBorder="1"/>
    <xf numFmtId="0" fontId="1" fillId="0" borderId="0" xfId="0" applyFont="1" applyFill="1"/>
    <xf numFmtId="0" fontId="0" fillId="5" borderId="4" xfId="0" applyFill="1" applyBorder="1"/>
    <xf numFmtId="0" fontId="0" fillId="5" borderId="6" xfId="0" applyFill="1" applyBorder="1"/>
    <xf numFmtId="0" fontId="0" fillId="0" borderId="4" xfId="0" applyFill="1" applyBorder="1"/>
    <xf numFmtId="0" fontId="9" fillId="0" borderId="19" xfId="0" applyFont="1" applyFill="1" applyBorder="1"/>
    <xf numFmtId="0" fontId="11" fillId="5" borderId="0" xfId="0" applyFont="1" applyFill="1" applyBorder="1"/>
    <xf numFmtId="0" fontId="11" fillId="5" borderId="0" xfId="0" applyFont="1" applyFill="1" applyBorder="1" applyAlignment="1">
      <alignment horizontal="right"/>
    </xf>
    <xf numFmtId="164" fontId="9" fillId="5" borderId="0" xfId="0" applyNumberFormat="1" applyFont="1" applyFill="1" applyBorder="1"/>
    <xf numFmtId="0" fontId="8" fillId="5" borderId="0" xfId="0" applyFont="1" applyFill="1" applyBorder="1"/>
    <xf numFmtId="0" fontId="12" fillId="5" borderId="5" xfId="0" applyFont="1" applyFill="1" applyBorder="1"/>
    <xf numFmtId="164" fontId="11" fillId="5" borderId="0" xfId="0" applyNumberFormat="1" applyFont="1" applyFill="1" applyBorder="1" applyAlignment="1">
      <alignment horizontal="right"/>
    </xf>
    <xf numFmtId="165" fontId="9" fillId="5" borderId="0" xfId="0" applyNumberFormat="1" applyFont="1" applyFill="1" applyBorder="1"/>
    <xf numFmtId="0" fontId="12" fillId="5" borderId="0" xfId="0" applyFont="1" applyFill="1" applyBorder="1"/>
    <xf numFmtId="9" fontId="11" fillId="5" borderId="0" xfId="0" applyNumberFormat="1" applyFont="1" applyFill="1" applyBorder="1" applyAlignment="1">
      <alignment horizontal="right"/>
    </xf>
    <xf numFmtId="165" fontId="12" fillId="5" borderId="0" xfId="0" applyNumberFormat="1" applyFont="1" applyFill="1" applyBorder="1"/>
    <xf numFmtId="0" fontId="1" fillId="0" borderId="0" xfId="0" applyFont="1" applyAlignment="1">
      <alignment wrapText="1"/>
    </xf>
    <xf numFmtId="0" fontId="0" fillId="0" borderId="0" xfId="0" applyFont="1"/>
    <xf numFmtId="11" fontId="0" fillId="0" borderId="0" xfId="0" applyNumberFormat="1"/>
    <xf numFmtId="0" fontId="0" fillId="0" borderId="0" xfId="0" applyAlignment="1">
      <alignment horizontal="right"/>
    </xf>
    <xf numFmtId="9" fontId="11" fillId="0" borderId="0" xfId="0" applyNumberFormat="1" applyFont="1" applyFill="1" applyBorder="1" applyAlignment="1">
      <alignment wrapText="1"/>
    </xf>
    <xf numFmtId="0" fontId="11" fillId="0" borderId="0" xfId="0" applyFont="1" applyFill="1" applyBorder="1" applyAlignment="1">
      <alignment horizontal="right"/>
    </xf>
    <xf numFmtId="9" fontId="11" fillId="0" borderId="0" xfId="0" applyNumberFormat="1" applyFont="1" applyFill="1" applyBorder="1" applyAlignment="1"/>
    <xf numFmtId="164" fontId="11" fillId="0" borderId="0" xfId="0" applyNumberFormat="1" applyFont="1" applyFill="1" applyBorder="1" applyAlignment="1">
      <alignment horizontal="right"/>
    </xf>
    <xf numFmtId="0" fontId="13" fillId="0" borderId="0" xfId="0" applyFont="1"/>
    <xf numFmtId="0" fontId="1" fillId="0" borderId="0" xfId="0" applyFont="1" applyAlignment="1">
      <alignment horizontal="right"/>
    </xf>
    <xf numFmtId="9" fontId="0" fillId="0" borderId="0" xfId="0" applyNumberFormat="1"/>
    <xf numFmtId="166" fontId="0" fillId="0" borderId="0" xfId="0" applyNumberFormat="1"/>
    <xf numFmtId="10" fontId="0" fillId="0" borderId="0" xfId="0" applyNumberFormat="1"/>
    <xf numFmtId="0" fontId="0" fillId="0" borderId="0" xfId="0" applyFont="1" applyFill="1"/>
    <xf numFmtId="1" fontId="0" fillId="0" borderId="0" xfId="0" applyNumberFormat="1"/>
    <xf numFmtId="0" fontId="0" fillId="10" borderId="0" xfId="0" applyFill="1"/>
    <xf numFmtId="167" fontId="0" fillId="0" borderId="0" xfId="0" applyNumberFormat="1"/>
    <xf numFmtId="0" fontId="0" fillId="0" borderId="0" xfId="0" applyAlignment="1">
      <alignment horizontal="left"/>
    </xf>
    <xf numFmtId="0" fontId="1" fillId="10" borderId="0" xfId="0" applyFont="1" applyFill="1" applyAlignment="1">
      <alignment horizontal="right"/>
    </xf>
    <xf numFmtId="0" fontId="0" fillId="10" borderId="0" xfId="0" applyFill="1" applyAlignment="1">
      <alignment horizontal="right"/>
    </xf>
    <xf numFmtId="0" fontId="1" fillId="10" borderId="0" xfId="0" applyFont="1" applyFill="1"/>
    <xf numFmtId="10" fontId="0" fillId="10" borderId="0" xfId="0" applyNumberFormat="1" applyFill="1"/>
    <xf numFmtId="9" fontId="0" fillId="0" borderId="0" xfId="0" applyNumberFormat="1" applyFill="1"/>
    <xf numFmtId="0" fontId="1" fillId="0" borderId="0" xfId="0" applyFont="1" applyFill="1" applyAlignment="1">
      <alignment horizontal="right"/>
    </xf>
    <xf numFmtId="0" fontId="0" fillId="0" borderId="0" xfId="0" applyFill="1" applyAlignment="1">
      <alignment horizontal="right"/>
    </xf>
    <xf numFmtId="10" fontId="0" fillId="0" borderId="0" xfId="0" applyNumberFormat="1" applyFill="1"/>
    <xf numFmtId="0" fontId="2" fillId="0" borderId="0" xfId="0" applyFont="1" applyFill="1"/>
    <xf numFmtId="166" fontId="0" fillId="0" borderId="0" xfId="0" applyNumberFormat="1" applyFill="1"/>
    <xf numFmtId="0" fontId="0" fillId="0" borderId="0" xfId="0" applyFill="1" applyAlignment="1">
      <alignment horizontal="left"/>
    </xf>
    <xf numFmtId="0" fontId="0" fillId="8" borderId="0" xfId="0" applyFill="1"/>
    <xf numFmtId="0" fontId="1" fillId="11" borderId="0" xfId="0" applyFont="1" applyFill="1"/>
    <xf numFmtId="0" fontId="0" fillId="11" borderId="0" xfId="0" applyFill="1"/>
    <xf numFmtId="0" fontId="0" fillId="11" borderId="0" xfId="0" applyFont="1" applyFill="1"/>
    <xf numFmtId="0" fontId="0" fillId="11" borderId="0" xfId="0" applyFill="1" applyAlignment="1">
      <alignment wrapText="1"/>
    </xf>
    <xf numFmtId="0" fontId="1" fillId="11" borderId="0" xfId="0" applyFont="1" applyFill="1" applyAlignment="1">
      <alignment wrapText="1"/>
    </xf>
    <xf numFmtId="0" fontId="13" fillId="11" borderId="0" xfId="0" applyFont="1" applyFill="1"/>
    <xf numFmtId="0" fontId="2" fillId="11" borderId="0" xfId="0" applyFont="1" applyFill="1"/>
    <xf numFmtId="164" fontId="0" fillId="0" borderId="0" xfId="0" applyNumberFormat="1"/>
    <xf numFmtId="0" fontId="0" fillId="8" borderId="0" xfId="0" applyFont="1" applyFill="1"/>
    <xf numFmtId="10" fontId="0" fillId="8" borderId="0" xfId="0" applyNumberFormat="1" applyFill="1"/>
    <xf numFmtId="1" fontId="0" fillId="0" borderId="0" xfId="0" applyNumberFormat="1" applyFont="1"/>
    <xf numFmtId="11" fontId="0" fillId="11" borderId="0" xfId="0" applyNumberFormat="1" applyFill="1"/>
    <xf numFmtId="0" fontId="0" fillId="11" borderId="0" xfId="0" applyFill="1" applyAlignment="1">
      <alignment horizontal="right"/>
    </xf>
    <xf numFmtId="9" fontId="11" fillId="11" borderId="0" xfId="0" applyNumberFormat="1" applyFont="1" applyFill="1" applyBorder="1" applyAlignment="1">
      <alignment wrapText="1"/>
    </xf>
    <xf numFmtId="0" fontId="0" fillId="3" borderId="0" xfId="0" applyFill="1" applyAlignment="1">
      <alignment horizontal="right"/>
    </xf>
    <xf numFmtId="11" fontId="0" fillId="3" borderId="0" xfId="0" applyNumberFormat="1" applyFill="1"/>
    <xf numFmtId="0" fontId="0" fillId="3" borderId="0" xfId="0" applyFill="1" applyAlignment="1">
      <alignment wrapText="1"/>
    </xf>
    <xf numFmtId="0" fontId="0" fillId="5" borderId="0" xfId="0" applyFont="1" applyFill="1" applyAlignment="1">
      <alignment wrapText="1"/>
    </xf>
    <xf numFmtId="0" fontId="0" fillId="11" borderId="0" xfId="0" applyFill="1" applyAlignment="1"/>
    <xf numFmtId="0" fontId="0" fillId="12" borderId="0" xfId="0" applyFill="1"/>
    <xf numFmtId="0" fontId="1" fillId="12" borderId="0" xfId="0" applyFont="1" applyFill="1"/>
    <xf numFmtId="0" fontId="0" fillId="12" borderId="0" xfId="0" applyFont="1" applyFill="1"/>
    <xf numFmtId="9" fontId="0" fillId="12" borderId="0" xfId="0" applyNumberFormat="1" applyFill="1"/>
    <xf numFmtId="0" fontId="1" fillId="12" borderId="0" xfId="0" applyFont="1" applyFill="1" applyAlignment="1">
      <alignment horizontal="right"/>
    </xf>
    <xf numFmtId="0" fontId="0" fillId="12" borderId="0" xfId="0" applyFill="1" applyAlignment="1">
      <alignment horizontal="right"/>
    </xf>
    <xf numFmtId="0" fontId="0" fillId="12" borderId="0" xfId="0" applyFill="1" applyAlignment="1">
      <alignment horizontal="left"/>
    </xf>
    <xf numFmtId="0" fontId="2" fillId="12" borderId="0" xfId="0" applyFont="1" applyFill="1"/>
    <xf numFmtId="10" fontId="0" fillId="12" borderId="0" xfId="0" applyNumberFormat="1" applyFill="1"/>
    <xf numFmtId="166" fontId="0" fillId="12" borderId="0" xfId="0" applyNumberFormat="1" applyFill="1"/>
    <xf numFmtId="2" fontId="0" fillId="0" borderId="0" xfId="0" applyNumberFormat="1"/>
    <xf numFmtId="168" fontId="0" fillId="8" borderId="0" xfId="0" applyNumberFormat="1" applyFill="1"/>
    <xf numFmtId="0" fontId="0" fillId="13" borderId="0" xfId="0" applyFont="1" applyFill="1"/>
    <xf numFmtId="0" fontId="2" fillId="0" borderId="0" xfId="0" applyFont="1" applyAlignment="1">
      <alignment horizontal="right"/>
    </xf>
    <xf numFmtId="0" fontId="0" fillId="13" borderId="0" xfId="0" applyFill="1"/>
    <xf numFmtId="168" fontId="0" fillId="0" borderId="0" xfId="0" applyNumberFormat="1" applyFill="1"/>
    <xf numFmtId="0" fontId="0" fillId="3" borderId="0" xfId="0" applyFill="1" applyAlignment="1"/>
    <xf numFmtId="0" fontId="1" fillId="3" borderId="0" xfId="0" applyFont="1" applyFill="1" applyAlignment="1">
      <alignment wrapText="1"/>
    </xf>
    <xf numFmtId="0" fontId="1" fillId="8" borderId="0" xfId="0" applyFont="1" applyFill="1" applyAlignment="1">
      <alignment wrapText="1"/>
    </xf>
    <xf numFmtId="0" fontId="0" fillId="0" borderId="0" xfId="0" applyFill="1" applyAlignment="1"/>
    <xf numFmtId="0" fontId="1" fillId="0" borderId="0" xfId="0" applyFont="1" applyFill="1" applyAlignment="1">
      <alignment wrapText="1"/>
    </xf>
    <xf numFmtId="0" fontId="1" fillId="2" borderId="0" xfId="0" applyFont="1" applyFill="1" applyAlignment="1">
      <alignment wrapText="1"/>
    </xf>
    <xf numFmtId="0" fontId="0" fillId="0" borderId="0" xfId="0" applyFont="1" applyFill="1" applyAlignment="1">
      <alignment wrapText="1"/>
    </xf>
    <xf numFmtId="0" fontId="13" fillId="0" borderId="0" xfId="0" applyFont="1" applyFill="1"/>
    <xf numFmtId="11" fontId="0" fillId="0" borderId="0" xfId="0" applyNumberFormat="1" applyFill="1"/>
    <xf numFmtId="0" fontId="0" fillId="8" borderId="0" xfId="0" applyFill="1" applyAlignment="1">
      <alignment wrapText="1"/>
    </xf>
    <xf numFmtId="0" fontId="2" fillId="0" borderId="0" xfId="0" applyFont="1" applyFill="1" applyAlignment="1"/>
    <xf numFmtId="2" fontId="0" fillId="2" borderId="0" xfId="0" applyNumberFormat="1" applyFill="1"/>
    <xf numFmtId="0" fontId="0" fillId="2" borderId="0" xfId="0" applyFont="1" applyFill="1" applyAlignment="1">
      <alignment wrapText="1"/>
    </xf>
    <xf numFmtId="10" fontId="0" fillId="2" borderId="0" xfId="0" applyNumberFormat="1" applyFill="1"/>
    <xf numFmtId="10" fontId="0" fillId="2" borderId="0" xfId="0" applyNumberFormat="1" applyFill="1" applyAlignment="1">
      <alignment wrapText="1"/>
    </xf>
    <xf numFmtId="10" fontId="0" fillId="3" borderId="0" xfId="0" applyNumberFormat="1" applyFill="1"/>
    <xf numFmtId="10" fontId="0" fillId="3" borderId="0" xfId="0" applyNumberFormat="1" applyFill="1" applyAlignment="1">
      <alignment wrapText="1"/>
    </xf>
    <xf numFmtId="0" fontId="14" fillId="2" borderId="0" xfId="0" applyFont="1" applyFill="1"/>
    <xf numFmtId="0" fontId="2" fillId="11" borderId="0" xfId="0" applyFont="1" applyFill="1" applyAlignment="1">
      <alignment horizontal="center"/>
    </xf>
    <xf numFmtId="0" fontId="2" fillId="0" borderId="0" xfId="0" applyFont="1" applyAlignment="1">
      <alignment horizontal="center"/>
    </xf>
    <xf numFmtId="9" fontId="11" fillId="5" borderId="0" xfId="0" applyNumberFormat="1" applyFont="1" applyFill="1" applyBorder="1" applyAlignment="1">
      <alignment horizontal="center" wrapText="1"/>
    </xf>
    <xf numFmtId="9" fontId="11" fillId="5" borderId="5" xfId="0" applyNumberFormat="1" applyFont="1" applyFill="1" applyBorder="1" applyAlignment="1">
      <alignment horizontal="center" wrapTex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159909962913169"/>
                  <c:y val="7.1532571542680487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FLEXCCSPARAMETERS!$C$23:$C$25</c:f>
              <c:numCache>
                <c:formatCode>0.00</c:formatCode>
                <c:ptCount val="3"/>
                <c:pt idx="0">
                  <c:v>0.41314452491622533</c:v>
                </c:pt>
                <c:pt idx="1">
                  <c:v>0.36263484048657324</c:v>
                </c:pt>
                <c:pt idx="2">
                  <c:v>0.32116493073111541</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8651311311925678"/>
                  <c:y val="0.20358019004226791"/>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FLEXCCSPARAMETERS!$C$26:$C$28</c:f>
              <c:numCache>
                <c:formatCode>0.00</c:formatCode>
                <c:ptCount val="3"/>
                <c:pt idx="0">
                  <c:v>0.37358127067889596</c:v>
                </c:pt>
                <c:pt idx="1">
                  <c:v>0.32958558266022647</c:v>
                </c:pt>
                <c:pt idx="2">
                  <c:v>0.2924461283447784</c:v>
                </c:pt>
              </c:numCache>
            </c:numRef>
          </c:yVal>
          <c:smooth val="0"/>
        </c:ser>
        <c:dLbls>
          <c:showLegendKey val="0"/>
          <c:showVal val="0"/>
          <c:showCatName val="0"/>
          <c:showSerName val="0"/>
          <c:showPercent val="0"/>
          <c:showBubbleSize val="0"/>
        </c:dLbls>
        <c:axId val="229611616"/>
        <c:axId val="229611056"/>
      </c:scatterChart>
      <c:valAx>
        <c:axId val="229611616"/>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9611056"/>
        <c:crosses val="autoZero"/>
        <c:crossBetween val="midCat"/>
      </c:valAx>
      <c:valAx>
        <c:axId val="2296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 for Solvent to Cap CO2 from Fuel for To-Be-Stored Lean/E to Store Lean Solvent (MWh/MWh)</a:t>
                </a:r>
              </a:p>
            </c:rich>
          </c:tx>
          <c:layout>
            <c:manualLayout>
              <c:xMode val="edge"/>
              <c:yMode val="edge"/>
              <c:x val="3.194637235674673E-2"/>
              <c:y val="5.092584096456295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9611616"/>
        <c:crosses val="autoZero"/>
        <c:crossBetween val="midCat"/>
      </c:valAx>
      <c:spPr>
        <a:noFill/>
        <a:ln>
          <a:noFill/>
        </a:ln>
        <a:effectLst/>
      </c:spPr>
    </c:plotArea>
    <c:legend>
      <c:legendPos val="r"/>
      <c:layout>
        <c:manualLayout>
          <c:xMode val="edge"/>
          <c:yMode val="edge"/>
          <c:x val="0.80207316492296377"/>
          <c:y val="0.46731554798817654"/>
          <c:w val="0.19792676188029576"/>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144372466952908"/>
                  <c:y val="7.821970646365938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FLEXCCSPARAMETERS!$D$23:$D$25</c:f>
              <c:numCache>
                <c:formatCode>0.00</c:formatCode>
                <c:ptCount val="3"/>
                <c:pt idx="0">
                  <c:v>2.5032080659945009</c:v>
                </c:pt>
                <c:pt idx="1">
                  <c:v>2.3727925480302727</c:v>
                </c:pt>
                <c:pt idx="2">
                  <c:v>2.3823216187433438</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0220972693413125"/>
                  <c:y val="0.1017769748938530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FLEXCCSPARAMETERS!$D$26:$D$28</c:f>
              <c:numCache>
                <c:formatCode>0.00</c:formatCode>
                <c:ptCount val="3"/>
                <c:pt idx="0">
                  <c:v>2.5495423796259451</c:v>
                </c:pt>
                <c:pt idx="1">
                  <c:v>2.4218289085545717</c:v>
                </c:pt>
                <c:pt idx="2">
                  <c:v>2.4273820536540223</c:v>
                </c:pt>
              </c:numCache>
            </c:numRef>
          </c:yVal>
          <c:smooth val="0"/>
        </c:ser>
        <c:dLbls>
          <c:showLegendKey val="0"/>
          <c:showVal val="0"/>
          <c:showCatName val="0"/>
          <c:showSerName val="0"/>
          <c:showPercent val="0"/>
          <c:showBubbleSize val="0"/>
        </c:dLbls>
        <c:axId val="232702032"/>
        <c:axId val="232702592"/>
      </c:scatterChart>
      <c:valAx>
        <c:axId val="232702032"/>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2702592"/>
        <c:crosses val="autoZero"/>
        <c:crossBetween val="midCat"/>
      </c:valAx>
      <c:valAx>
        <c:axId val="23270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 to Regenerator/E to CO2Cap (MWh/MWh)</a:t>
                </a:r>
              </a:p>
            </c:rich>
          </c:tx>
          <c:layout>
            <c:manualLayout>
              <c:xMode val="edge"/>
              <c:yMode val="edge"/>
              <c:x val="3.194637235674673E-2"/>
              <c:y val="5.092584096456295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2702032"/>
        <c:crosses val="autoZero"/>
        <c:crossBetween val="midCat"/>
      </c:valAx>
      <c:spPr>
        <a:noFill/>
        <a:ln>
          <a:noFill/>
        </a:ln>
        <a:effectLst/>
      </c:spPr>
    </c:plotArea>
    <c:legend>
      <c:legendPos val="r"/>
      <c:layout>
        <c:manualLayout>
          <c:xMode val="edge"/>
          <c:yMode val="edge"/>
          <c:x val="0.71961055236014271"/>
          <c:y val="0.50476418203638662"/>
          <c:w val="0.28038944763985735"/>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159909962913169"/>
                  <c:y val="7.1532571542680487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FLEXCCSPARAMETERS!$E$23:$E$25</c:f>
              <c:numCache>
                <c:formatCode>0.00</c:formatCode>
                <c:ptCount val="3"/>
                <c:pt idx="0">
                  <c:v>2.1527995813710095</c:v>
                </c:pt>
                <c:pt idx="1">
                  <c:v>2.4827387802071352</c:v>
                </c:pt>
                <c:pt idx="2">
                  <c:v>2.8350125944584379</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5049280320354137E-2"/>
                  <c:y val="-0.17923644952433238"/>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FLEXCCSPARAMETERS!$E$26:$E$28</c:f>
              <c:numCache>
                <c:formatCode>0.00</c:formatCode>
                <c:ptCount val="3"/>
                <c:pt idx="0">
                  <c:v>2.415919282511211</c:v>
                </c:pt>
                <c:pt idx="1">
                  <c:v>2.7672413793103452</c:v>
                </c:pt>
                <c:pt idx="2">
                  <c:v>3.1484480431848869</c:v>
                </c:pt>
              </c:numCache>
            </c:numRef>
          </c:yVal>
          <c:smooth val="0"/>
        </c:ser>
        <c:dLbls>
          <c:showLegendKey val="0"/>
          <c:showVal val="0"/>
          <c:showCatName val="0"/>
          <c:showSerName val="0"/>
          <c:showPercent val="0"/>
          <c:showBubbleSize val="0"/>
        </c:dLbls>
        <c:axId val="235288336"/>
        <c:axId val="235288896"/>
      </c:scatterChart>
      <c:valAx>
        <c:axId val="235288336"/>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88896"/>
        <c:crosses val="autoZero"/>
        <c:crossBetween val="midCat"/>
      </c:valAx>
      <c:valAx>
        <c:axId val="23528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Net E to Grid / E to CO2 Cap+Regen (MWh/MWh)</a:t>
                </a:r>
              </a:p>
            </c:rich>
          </c:tx>
          <c:layout>
            <c:manualLayout>
              <c:xMode val="edge"/>
              <c:yMode val="edge"/>
              <c:x val="3.194637235674673E-2"/>
              <c:y val="5.092584096456295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88336"/>
        <c:crosses val="autoZero"/>
        <c:crossBetween val="midCat"/>
      </c:valAx>
      <c:spPr>
        <a:noFill/>
        <a:ln>
          <a:noFill/>
        </a:ln>
        <a:effectLst/>
      </c:spPr>
    </c:plotArea>
    <c:legend>
      <c:legendPos val="r"/>
      <c:layout>
        <c:manualLayout>
          <c:xMode val="edge"/>
          <c:yMode val="edge"/>
          <c:x val="0.72383940804012015"/>
          <c:y val="0.46731554798817654"/>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159909962913169"/>
                  <c:y val="7.1532571542680487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FLEXCCSPARAMETERS!$F$23:$F$25</c:f>
              <c:numCache>
                <c:formatCode>0.00</c:formatCode>
                <c:ptCount val="3"/>
                <c:pt idx="0">
                  <c:v>3.0216276477146038</c:v>
                </c:pt>
                <c:pt idx="1">
                  <c:v>3.357307249712314</c:v>
                </c:pt>
                <c:pt idx="2">
                  <c:v>3.7104573193075212</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2522340928014056"/>
                  <c:y val="-0.15476025488675468"/>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FLEXCCSPARAMETERS!$F$26:$F$28</c:f>
              <c:numCache>
                <c:formatCode>0.00</c:formatCode>
                <c:ptCount val="3"/>
                <c:pt idx="0">
                  <c:v>3.2826297983502779</c:v>
                </c:pt>
                <c:pt idx="1">
                  <c:v>3.636830424858791</c:v>
                </c:pt>
                <c:pt idx="2">
                  <c:v>4.0202429149797592</c:v>
                </c:pt>
              </c:numCache>
            </c:numRef>
          </c:yVal>
          <c:smooth val="0"/>
        </c:ser>
        <c:dLbls>
          <c:showLegendKey val="0"/>
          <c:showVal val="0"/>
          <c:showCatName val="0"/>
          <c:showSerName val="0"/>
          <c:showPercent val="0"/>
          <c:showBubbleSize val="0"/>
        </c:dLbls>
        <c:axId val="235291696"/>
        <c:axId val="235292256"/>
      </c:scatterChart>
      <c:valAx>
        <c:axId val="235291696"/>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92256"/>
        <c:crosses val="autoZero"/>
        <c:crossBetween val="midCat"/>
      </c:valAx>
      <c:valAx>
        <c:axId val="23529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Net E to Grid When Discharging Stored Lean/E Used to Store Lean Solvent (MWh/MWh)</a:t>
                </a:r>
              </a:p>
            </c:rich>
          </c:tx>
          <c:layout>
            <c:manualLayout>
              <c:xMode val="edge"/>
              <c:yMode val="edge"/>
              <c:x val="3.194637235674673E-2"/>
              <c:y val="5.092584096456295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91696"/>
        <c:crosses val="autoZero"/>
        <c:crossBetween val="midCat"/>
      </c:valAx>
      <c:spPr>
        <a:noFill/>
        <a:ln>
          <a:noFill/>
        </a:ln>
        <a:effectLst/>
      </c:spPr>
    </c:plotArea>
    <c:legend>
      <c:legendPos val="r"/>
      <c:layout>
        <c:manualLayout>
          <c:xMode val="edge"/>
          <c:yMode val="edge"/>
          <c:x val="0.72383940804012015"/>
          <c:y val="0.46731554798817654"/>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159909962913169"/>
                  <c:y val="7.1532571542680487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FLEXCCSPARAMETERS!$I$23:$I$25</c:f>
              <c:numCache>
                <c:formatCode>0.00%</c:formatCode>
                <c:ptCount val="3"/>
                <c:pt idx="0">
                  <c:v>0.46426022229020086</c:v>
                </c:pt>
                <c:pt idx="1">
                  <c:v>0.40208197787898503</c:v>
                </c:pt>
                <c:pt idx="2">
                  <c:v>0.35296934865900381</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1747589593885008"/>
                  <c:y val="0.21364337353144039"/>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FLEXCCSPARAMETERS!$I$26:$I$28</c:f>
              <c:numCache>
                <c:formatCode>0.00%</c:formatCode>
                <c:ptCount val="3"/>
                <c:pt idx="0">
                  <c:v>0.41420624732563116</c:v>
                </c:pt>
                <c:pt idx="1">
                  <c:v>0.36084583901773531</c:v>
                </c:pt>
                <c:pt idx="2">
                  <c:v>0.31803360922999752</c:v>
                </c:pt>
              </c:numCache>
            </c:numRef>
          </c:yVal>
          <c:smooth val="0"/>
        </c:ser>
        <c:dLbls>
          <c:showLegendKey val="0"/>
          <c:showVal val="0"/>
          <c:showCatName val="0"/>
          <c:showSerName val="0"/>
          <c:showPercent val="0"/>
          <c:showBubbleSize val="0"/>
        </c:dLbls>
        <c:axId val="235295056"/>
        <c:axId val="235295616"/>
      </c:scatterChart>
      <c:valAx>
        <c:axId val="235295056"/>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95616"/>
        <c:crosses val="autoZero"/>
        <c:crossBetween val="midCat"/>
      </c:valAx>
      <c:valAx>
        <c:axId val="23529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Penalty (%)</a:t>
                </a:r>
              </a:p>
            </c:rich>
          </c:tx>
          <c:layout>
            <c:manualLayout>
              <c:xMode val="edge"/>
              <c:yMode val="edge"/>
              <c:x val="6.3662758415963888E-2"/>
              <c:y val="0.2449780066217372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95056"/>
        <c:crosses val="autoZero"/>
        <c:crossBetween val="midCat"/>
      </c:valAx>
      <c:spPr>
        <a:noFill/>
        <a:ln>
          <a:noFill/>
        </a:ln>
        <a:effectLst/>
      </c:spPr>
    </c:plotArea>
    <c:legend>
      <c:legendPos val="r"/>
      <c:layout>
        <c:manualLayout>
          <c:xMode val="edge"/>
          <c:yMode val="edge"/>
          <c:x val="0.72383940804012015"/>
          <c:y val="0.46731554798817654"/>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955015131478286"/>
                  <c:y val="7.2932127863702984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FLEXCCSPARAMETERS!$J$23:$J$25</c:f>
              <c:numCache>
                <c:formatCode>0.00%</c:formatCode>
                <c:ptCount val="3"/>
                <c:pt idx="0">
                  <c:v>-0.31717842323651457</c:v>
                </c:pt>
                <c:pt idx="1">
                  <c:v>-0.28713034858747721</c:v>
                </c:pt>
                <c:pt idx="2">
                  <c:v>-0.26075533661740558</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8433215630183575"/>
                  <c:y val="-0.17341810257822066"/>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FLEXCCSPARAMETERS!$J$26:$J$28</c:f>
              <c:numCache>
                <c:formatCode>0.00%</c:formatCode>
                <c:ptCount val="3"/>
                <c:pt idx="0">
                  <c:v>-0.29274696422710861</c:v>
                </c:pt>
                <c:pt idx="1">
                  <c:v>-0.26544622425629288</c:v>
                </c:pt>
                <c:pt idx="2">
                  <c:v>-0.24105400130123608</c:v>
                </c:pt>
              </c:numCache>
            </c:numRef>
          </c:yVal>
          <c:smooth val="0"/>
        </c:ser>
        <c:dLbls>
          <c:showLegendKey val="0"/>
          <c:showVal val="0"/>
          <c:showCatName val="0"/>
          <c:showSerName val="0"/>
          <c:showPercent val="0"/>
          <c:showBubbleSize val="0"/>
        </c:dLbls>
        <c:axId val="235298416"/>
        <c:axId val="235298976"/>
      </c:scatterChart>
      <c:valAx>
        <c:axId val="235298416"/>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98976"/>
        <c:crosses val="autoZero"/>
        <c:crossBetween val="midCat"/>
      </c:valAx>
      <c:valAx>
        <c:axId val="23529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Capacity Penalty (%)</a:t>
                </a:r>
              </a:p>
            </c:rich>
          </c:tx>
          <c:layout>
            <c:manualLayout>
              <c:xMode val="edge"/>
              <c:yMode val="edge"/>
              <c:x val="6.3662758415963888E-2"/>
              <c:y val="0.2449780066217372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298416"/>
        <c:crosses val="autoZero"/>
        <c:crossBetween val="midCat"/>
      </c:valAx>
      <c:spPr>
        <a:noFill/>
        <a:ln>
          <a:noFill/>
        </a:ln>
        <a:effectLst/>
      </c:spPr>
    </c:plotArea>
    <c:legend>
      <c:legendPos val="r"/>
      <c:layout>
        <c:manualLayout>
          <c:xMode val="edge"/>
          <c:yMode val="edge"/>
          <c:x val="0.72383940804012015"/>
          <c:y val="0.18474839837970897"/>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177954575763363"/>
                  <c:y val="6.6578187404652697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FLEXCCSPARAMETERS!$K$23:$K$25</c:f>
              <c:numCache>
                <c:formatCode>0.00%</c:formatCode>
                <c:ptCount val="3"/>
                <c:pt idx="0">
                  <c:v>4.3132456408687674E-2</c:v>
                </c:pt>
                <c:pt idx="1">
                  <c:v>3.7410540013012361E-2</c:v>
                </c:pt>
                <c:pt idx="2">
                  <c:v>3.3405172413793101E-2</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2170475161882761"/>
                  <c:y val="1.4170442583061896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FLEXCCSPARAMETERS!$K$26:$K$28</c:f>
              <c:numCache>
                <c:formatCode>0.00%</c:formatCode>
                <c:ptCount val="3"/>
                <c:pt idx="0">
                  <c:v>4.0864356011981171E-2</c:v>
                </c:pt>
                <c:pt idx="1">
                  <c:v>3.5698044565711684E-2</c:v>
                </c:pt>
                <c:pt idx="2">
                  <c:v>3.1978931527464262E-2</c:v>
                </c:pt>
              </c:numCache>
            </c:numRef>
          </c:yVal>
          <c:smooth val="0"/>
        </c:ser>
        <c:dLbls>
          <c:showLegendKey val="0"/>
          <c:showVal val="0"/>
          <c:showCatName val="0"/>
          <c:showSerName val="0"/>
          <c:showPercent val="0"/>
          <c:showBubbleSize val="0"/>
        </c:dLbls>
        <c:axId val="235301776"/>
        <c:axId val="235302336"/>
      </c:scatterChart>
      <c:valAx>
        <c:axId val="235301776"/>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302336"/>
        <c:crosses val="autoZero"/>
        <c:crossBetween val="midCat"/>
      </c:valAx>
      <c:valAx>
        <c:axId val="23530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w/ Discharged Stored Lean Solvent Net HR Penalty (%)</a:t>
                </a:r>
              </a:p>
            </c:rich>
          </c:tx>
          <c:layout>
            <c:manualLayout>
              <c:xMode val="edge"/>
              <c:yMode val="edge"/>
              <c:x val="4.8861763536042588E-2"/>
              <c:y val="4.9434101759014554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5301776"/>
        <c:crosses val="autoZero"/>
        <c:crossBetween val="midCat"/>
      </c:valAx>
      <c:spPr>
        <a:noFill/>
        <a:ln>
          <a:noFill/>
        </a:ln>
        <a:effectLst/>
      </c:spPr>
    </c:plotArea>
    <c:legend>
      <c:legendPos val="r"/>
      <c:layout>
        <c:manualLayout>
          <c:xMode val="edge"/>
          <c:yMode val="edge"/>
          <c:x val="0.72383940804012015"/>
          <c:y val="0.40263148512468089"/>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692577342690314"/>
                  <c:y val="-0.1079207525330114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FLEXCCSPARAMETERS!$G$23:$G$25</c:f>
              <c:numCache>
                <c:formatCode>General</c:formatCode>
                <c:ptCount val="3"/>
                <c:pt idx="0">
                  <c:v>14360</c:v>
                </c:pt>
                <c:pt idx="1">
                  <c:v>12930</c:v>
                </c:pt>
                <c:pt idx="2">
                  <c:v>11300</c:v>
                </c:pt>
              </c:numCache>
            </c:numRef>
          </c:xVal>
          <c:yVal>
            <c:numRef>
              <c:f>FLEXCCSPARAMETERS!$L$23:$L$25</c:f>
              <c:numCache>
                <c:formatCode>0.00%</c:formatCode>
                <c:ptCount val="3"/>
                <c:pt idx="0">
                  <c:v>-4.1493775933609957E-2</c:v>
                </c:pt>
                <c:pt idx="1">
                  <c:v>-3.6015199074838848E-2</c:v>
                </c:pt>
                <c:pt idx="2">
                  <c:v>-3.2348111658456559E-2</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2170475161882761"/>
                  <c:y val="1.4170442583061896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FLEXCCSPARAMETERS!$G$26:$G$28</c:f>
              <c:numCache>
                <c:formatCode>General</c:formatCode>
                <c:ptCount val="3"/>
                <c:pt idx="0">
                  <c:v>13220</c:v>
                </c:pt>
                <c:pt idx="1">
                  <c:v>11970</c:v>
                </c:pt>
                <c:pt idx="2">
                  <c:v>10510</c:v>
                </c:pt>
              </c:numCache>
            </c:numRef>
          </c:xVal>
          <c:yVal>
            <c:numRef>
              <c:f>FLEXCCSPARAMETERS!$L$26:$L$28</c:f>
              <c:numCache>
                <c:formatCode>0.00%</c:formatCode>
                <c:ptCount val="3"/>
                <c:pt idx="0">
                  <c:v>-3.938299967180834E-2</c:v>
                </c:pt>
                <c:pt idx="1">
                  <c:v>-3.4488394900294067E-2</c:v>
                </c:pt>
                <c:pt idx="2">
                  <c:v>-3.0904359141184126E-2</c:v>
                </c:pt>
              </c:numCache>
            </c:numRef>
          </c:yVal>
          <c:smooth val="0"/>
        </c:ser>
        <c:dLbls>
          <c:showLegendKey val="0"/>
          <c:showVal val="0"/>
          <c:showCatName val="0"/>
          <c:showSerName val="0"/>
          <c:showPercent val="0"/>
          <c:showBubbleSize val="0"/>
        </c:dLbls>
        <c:axId val="236292592"/>
        <c:axId val="236293152"/>
      </c:scatterChart>
      <c:valAx>
        <c:axId val="236292592"/>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6293152"/>
        <c:crosses val="autoZero"/>
        <c:crossBetween val="midCat"/>
      </c:valAx>
      <c:valAx>
        <c:axId val="2362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w/ Discharged Stored Lean Solvent  Capacity Penalty (%)</a:t>
                </a:r>
              </a:p>
            </c:rich>
          </c:tx>
          <c:layout>
            <c:manualLayout>
              <c:xMode val="edge"/>
              <c:yMode val="edge"/>
              <c:x val="4.8861763536042588E-2"/>
              <c:y val="4.9434101759014554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6292592"/>
        <c:crosses val="autoZero"/>
        <c:crossBetween val="midCat"/>
      </c:valAx>
      <c:spPr>
        <a:noFill/>
        <a:ln>
          <a:noFill/>
        </a:ln>
        <a:effectLst/>
      </c:spPr>
    </c:plotArea>
    <c:legend>
      <c:legendPos val="r"/>
      <c:layout>
        <c:manualLayout>
          <c:xMode val="edge"/>
          <c:yMode val="edge"/>
          <c:x val="0.67732199556036754"/>
          <c:y val="0.15070416607580717"/>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34450575901109"/>
          <c:y val="5.0925925925925923E-2"/>
          <c:w val="0.69640083221800486"/>
          <c:h val="0.71585138145966587"/>
        </c:manualLayout>
      </c:layout>
      <c:scatterChart>
        <c:scatterStyle val="lineMarker"/>
        <c:varyColors val="0"/>
        <c:ser>
          <c:idx val="0"/>
          <c:order val="0"/>
          <c:tx>
            <c:v>Subbit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9423678561683014E-2"/>
                  <c:y val="-5.7734728950276926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FLEXCCSPARAMETERS!$H$23:$H$25</c:f>
              <c:numCache>
                <c:formatCode>General</c:formatCode>
                <c:ptCount val="3"/>
                <c:pt idx="0">
                  <c:v>9807</c:v>
                </c:pt>
                <c:pt idx="1">
                  <c:v>9222</c:v>
                </c:pt>
                <c:pt idx="2">
                  <c:v>8352</c:v>
                </c:pt>
              </c:numCache>
            </c:numRef>
          </c:xVal>
          <c:yVal>
            <c:numRef>
              <c:f>FLEXCCSPARAMETERS!$I$23:$I$25</c:f>
              <c:numCache>
                <c:formatCode>0.00%</c:formatCode>
                <c:ptCount val="3"/>
                <c:pt idx="0">
                  <c:v>0.46426022229020086</c:v>
                </c:pt>
                <c:pt idx="1">
                  <c:v>0.40208197787898503</c:v>
                </c:pt>
                <c:pt idx="2">
                  <c:v>0.35296934865900381</c:v>
                </c:pt>
              </c:numCache>
            </c:numRef>
          </c:yVal>
          <c:smooth val="0"/>
        </c:ser>
        <c:ser>
          <c:idx val="1"/>
          <c:order val="1"/>
          <c:tx>
            <c:v>Bit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1747589593885008"/>
                  <c:y val="0.21364337353144039"/>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FLEXCCSPARAMETERS!$H$26:$H$28</c:f>
              <c:numCache>
                <c:formatCode>General</c:formatCode>
                <c:ptCount val="3"/>
                <c:pt idx="0">
                  <c:v>9348</c:v>
                </c:pt>
                <c:pt idx="1">
                  <c:v>8796</c:v>
                </c:pt>
                <c:pt idx="2">
                  <c:v>7974</c:v>
                </c:pt>
              </c:numCache>
            </c:numRef>
          </c:xVal>
          <c:yVal>
            <c:numRef>
              <c:f>FLEXCCSPARAMETERS!$I$26:$I$28</c:f>
              <c:numCache>
                <c:formatCode>0.00%</c:formatCode>
                <c:ptCount val="3"/>
                <c:pt idx="0">
                  <c:v>0.41420624732563116</c:v>
                </c:pt>
                <c:pt idx="1">
                  <c:v>0.36084583901773531</c:v>
                </c:pt>
                <c:pt idx="2">
                  <c:v>0.31803360922999752</c:v>
                </c:pt>
              </c:numCache>
            </c:numRef>
          </c:yVal>
          <c:smooth val="0"/>
        </c:ser>
        <c:dLbls>
          <c:showLegendKey val="0"/>
          <c:showVal val="0"/>
          <c:showCatName val="0"/>
          <c:showSerName val="0"/>
          <c:showPercent val="0"/>
          <c:showBubbleSize val="0"/>
        </c:dLbls>
        <c:axId val="236295952"/>
        <c:axId val="236296512"/>
      </c:scatterChart>
      <c:valAx>
        <c:axId val="236295952"/>
        <c:scaling>
          <c:orientation val="minMax"/>
          <c:max val="10000"/>
          <c:min val="7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Pre-CCS</a:t>
                </a:r>
                <a:r>
                  <a:rPr lang="en-US" baseline="0"/>
                  <a:t> </a:t>
                </a:r>
                <a:r>
                  <a:rPr lang="en-US"/>
                  <a:t>Net HR (Btu/kWh)</a:t>
                </a:r>
              </a:p>
            </c:rich>
          </c:tx>
          <c:layout>
            <c:manualLayout>
              <c:xMode val="edge"/>
              <c:yMode val="edge"/>
              <c:x val="0.46757891094359899"/>
              <c:y val="0.88263059457182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6296512"/>
        <c:crosses val="autoZero"/>
        <c:crossBetween val="midCat"/>
      </c:valAx>
      <c:valAx>
        <c:axId val="2362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CCS Net HR Penalty (%)</a:t>
                </a:r>
              </a:p>
            </c:rich>
          </c:tx>
          <c:layout>
            <c:manualLayout>
              <c:xMode val="edge"/>
              <c:yMode val="edge"/>
              <c:x val="6.3662758415963888E-2"/>
              <c:y val="0.2449780066217372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6295952"/>
        <c:crosses val="autoZero"/>
        <c:crossBetween val="midCat"/>
      </c:valAx>
      <c:spPr>
        <a:noFill/>
        <a:ln>
          <a:noFill/>
        </a:ln>
        <a:effectLst/>
      </c:spPr>
    </c:plotArea>
    <c:legend>
      <c:legendPos val="r"/>
      <c:layout>
        <c:manualLayout>
          <c:xMode val="edge"/>
          <c:yMode val="edge"/>
          <c:x val="0.72383940804012015"/>
          <c:y val="0.46731554798817654"/>
          <c:w val="0.2761605919598798"/>
          <c:h val="0.27921095655982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224117</xdr:colOff>
      <xdr:row>29</xdr:row>
      <xdr:rowOff>57147</xdr:rowOff>
    </xdr:from>
    <xdr:to>
      <xdr:col>4</xdr:col>
      <xdr:colOff>56029</xdr:colOff>
      <xdr:row>48</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89648</xdr:colOff>
      <xdr:row>50</xdr:row>
      <xdr:rowOff>156883</xdr:rowOff>
    </xdr:from>
    <xdr:to>
      <xdr:col>3</xdr:col>
      <xdr:colOff>974913</xdr:colOff>
      <xdr:row>70</xdr:row>
      <xdr:rowOff>77324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31</xdr:row>
      <xdr:rowOff>168089</xdr:rowOff>
    </xdr:from>
    <xdr:to>
      <xdr:col>15</xdr:col>
      <xdr:colOff>1086971</xdr:colOff>
      <xdr:row>51</xdr:row>
      <xdr:rowOff>88530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280146</xdr:colOff>
      <xdr:row>44</xdr:row>
      <xdr:rowOff>179294</xdr:rowOff>
    </xdr:from>
    <xdr:to>
      <xdr:col>15</xdr:col>
      <xdr:colOff>1176617</xdr:colOff>
      <xdr:row>64</xdr:row>
      <xdr:rowOff>99735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1647266</xdr:colOff>
      <xdr:row>30</xdr:row>
      <xdr:rowOff>78443</xdr:rowOff>
    </xdr:from>
    <xdr:to>
      <xdr:col>5</xdr:col>
      <xdr:colOff>526678</xdr:colOff>
      <xdr:row>49</xdr:row>
      <xdr:rowOff>189384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930090</xdr:colOff>
      <xdr:row>39</xdr:row>
      <xdr:rowOff>78441</xdr:rowOff>
    </xdr:from>
    <xdr:to>
      <xdr:col>12</xdr:col>
      <xdr:colOff>156884</xdr:colOff>
      <xdr:row>58</xdr:row>
      <xdr:rowOff>189382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33618</xdr:colOff>
      <xdr:row>33</xdr:row>
      <xdr:rowOff>56029</xdr:rowOff>
    </xdr:from>
    <xdr:to>
      <xdr:col>19</xdr:col>
      <xdr:colOff>694765</xdr:colOff>
      <xdr:row>52</xdr:row>
      <xdr:rowOff>166970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806824</xdr:colOff>
      <xdr:row>43</xdr:row>
      <xdr:rowOff>168088</xdr:rowOff>
    </xdr:from>
    <xdr:to>
      <xdr:col>20</xdr:col>
      <xdr:colOff>100854</xdr:colOff>
      <xdr:row>63</xdr:row>
      <xdr:rowOff>88529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78441</xdr:colOff>
      <xdr:row>30</xdr:row>
      <xdr:rowOff>56028</xdr:rowOff>
    </xdr:from>
    <xdr:to>
      <xdr:col>16</xdr:col>
      <xdr:colOff>123265</xdr:colOff>
      <xdr:row>49</xdr:row>
      <xdr:rowOff>166969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36" workbookViewId="0">
      <selection activeCell="J43" sqref="J43"/>
    </sheetView>
  </sheetViews>
  <sheetFormatPr defaultRowHeight="15" x14ac:dyDescent="0.25"/>
  <cols>
    <col min="18" max="18" width="11.28515625" customWidth="1"/>
    <col min="19" max="19" width="13.140625" customWidth="1"/>
    <col min="20" max="20" width="13.85546875" customWidth="1"/>
    <col min="21" max="21" width="15.28515625" customWidth="1"/>
    <col min="22" max="22" width="17.85546875" customWidth="1"/>
    <col min="23" max="23" width="13.7109375" customWidth="1"/>
  </cols>
  <sheetData>
    <row r="1" spans="1:23" x14ac:dyDescent="0.25">
      <c r="A1" t="s">
        <v>658</v>
      </c>
      <c r="N1" s="5"/>
      <c r="O1" s="23" t="s">
        <v>481</v>
      </c>
      <c r="P1" s="5"/>
      <c r="Q1" s="5"/>
      <c r="R1" s="5"/>
      <c r="S1" s="5"/>
      <c r="T1" s="5"/>
      <c r="U1" s="5"/>
      <c r="V1" s="5"/>
      <c r="W1" s="165"/>
    </row>
    <row r="2" spans="1:23" x14ac:dyDescent="0.25">
      <c r="B2" t="s">
        <v>659</v>
      </c>
      <c r="N2" s="5"/>
      <c r="O2" s="23" t="s">
        <v>485</v>
      </c>
      <c r="P2" s="5"/>
      <c r="Q2" s="5"/>
      <c r="R2" s="5"/>
      <c r="S2" s="5"/>
      <c r="T2" s="5"/>
      <c r="U2" s="5"/>
      <c r="V2" s="5"/>
      <c r="W2" s="165"/>
    </row>
    <row r="3" spans="1:23" x14ac:dyDescent="0.25">
      <c r="B3" t="s">
        <v>660</v>
      </c>
      <c r="N3" s="5"/>
      <c r="O3" s="23" t="s">
        <v>486</v>
      </c>
      <c r="P3" s="5"/>
      <c r="Q3" s="5"/>
      <c r="R3" s="5"/>
      <c r="S3" s="5"/>
      <c r="T3" s="5"/>
      <c r="U3" s="5"/>
      <c r="V3" s="5"/>
      <c r="W3" s="165"/>
    </row>
    <row r="4" spans="1:23" x14ac:dyDescent="0.25">
      <c r="B4" t="s">
        <v>661</v>
      </c>
      <c r="E4" s="10" t="s">
        <v>146</v>
      </c>
      <c r="N4" s="5"/>
      <c r="O4" s="5"/>
      <c r="P4" s="5"/>
      <c r="Q4" s="5"/>
      <c r="R4" s="21"/>
      <c r="S4" s="5"/>
      <c r="T4" s="5"/>
      <c r="U4" s="5"/>
      <c r="V4" s="5"/>
      <c r="W4" s="165"/>
    </row>
    <row r="5" spans="1:23" x14ac:dyDescent="0.25">
      <c r="E5" s="10" t="s">
        <v>147</v>
      </c>
      <c r="N5" s="5"/>
      <c r="O5" s="5"/>
      <c r="P5" s="5"/>
      <c r="Q5" s="21" t="s">
        <v>170</v>
      </c>
      <c r="R5" s="21" t="s">
        <v>663</v>
      </c>
      <c r="S5" s="21" t="s">
        <v>670</v>
      </c>
      <c r="T5" s="21" t="s">
        <v>172</v>
      </c>
      <c r="U5" s="21" t="s">
        <v>664</v>
      </c>
      <c r="V5" s="162"/>
      <c r="W5" s="165"/>
    </row>
    <row r="6" spans="1:23" x14ac:dyDescent="0.25">
      <c r="E6" s="10" t="s">
        <v>148</v>
      </c>
      <c r="N6" s="5"/>
      <c r="O6" s="5"/>
      <c r="P6" s="5"/>
      <c r="Q6" s="140" t="s">
        <v>165</v>
      </c>
      <c r="R6" s="5" t="s">
        <v>665</v>
      </c>
      <c r="S6" s="5" t="s">
        <v>667</v>
      </c>
      <c r="T6" s="5">
        <v>10.55</v>
      </c>
      <c r="U6" s="5">
        <f t="shared" ref="U6:U17" si="0">0.2*T6</f>
        <v>2.1100000000000003</v>
      </c>
      <c r="V6" s="5"/>
      <c r="W6" s="10"/>
    </row>
    <row r="7" spans="1:23" x14ac:dyDescent="0.25">
      <c r="E7" s="10" t="s">
        <v>149</v>
      </c>
      <c r="N7" s="5"/>
      <c r="O7" s="5"/>
      <c r="P7" s="5"/>
      <c r="Q7" s="140" t="s">
        <v>169</v>
      </c>
      <c r="R7" s="5" t="s">
        <v>665</v>
      </c>
      <c r="S7" s="5" t="s">
        <v>667</v>
      </c>
      <c r="T7" s="5">
        <v>84.38</v>
      </c>
      <c r="U7" s="5">
        <f t="shared" si="0"/>
        <v>16.876000000000001</v>
      </c>
      <c r="V7" s="5"/>
      <c r="W7" s="10"/>
    </row>
    <row r="8" spans="1:23" x14ac:dyDescent="0.25">
      <c r="E8" s="10" t="s">
        <v>150</v>
      </c>
      <c r="N8" s="5"/>
      <c r="O8" s="5"/>
      <c r="P8" s="5"/>
      <c r="Q8" s="140" t="s">
        <v>165</v>
      </c>
      <c r="R8" s="5" t="s">
        <v>665</v>
      </c>
      <c r="S8" s="161" t="s">
        <v>668</v>
      </c>
      <c r="T8" s="5">
        <v>9.7070000000000007</v>
      </c>
      <c r="U8" s="5">
        <f t="shared" si="0"/>
        <v>1.9414000000000002</v>
      </c>
      <c r="V8" s="5"/>
      <c r="W8" s="10"/>
    </row>
    <row r="9" spans="1:23" x14ac:dyDescent="0.25">
      <c r="E9" s="10" t="s">
        <v>151</v>
      </c>
      <c r="N9" s="5"/>
      <c r="O9" s="5"/>
      <c r="P9" s="5"/>
      <c r="Q9" s="140" t="s">
        <v>169</v>
      </c>
      <c r="R9" s="5" t="s">
        <v>665</v>
      </c>
      <c r="S9" s="161" t="s">
        <v>668</v>
      </c>
      <c r="T9" s="5">
        <v>84.38</v>
      </c>
      <c r="U9" s="5">
        <f t="shared" si="0"/>
        <v>16.876000000000001</v>
      </c>
      <c r="V9" s="5"/>
      <c r="W9" s="10"/>
    </row>
    <row r="10" spans="1:23" x14ac:dyDescent="0.25">
      <c r="B10" t="s">
        <v>662</v>
      </c>
      <c r="N10" s="5"/>
      <c r="O10" s="5"/>
      <c r="P10" s="5"/>
      <c r="Q10" s="140" t="s">
        <v>165</v>
      </c>
      <c r="R10" s="5" t="s">
        <v>665</v>
      </c>
      <c r="S10" s="161" t="s">
        <v>669</v>
      </c>
      <c r="T10" s="5">
        <v>8.6720000000000006</v>
      </c>
      <c r="U10" s="5">
        <f t="shared" si="0"/>
        <v>1.7344000000000002</v>
      </c>
      <c r="V10" s="5"/>
      <c r="W10" s="10"/>
    </row>
    <row r="11" spans="1:23" x14ac:dyDescent="0.25">
      <c r="B11" t="s">
        <v>675</v>
      </c>
      <c r="N11" s="5"/>
      <c r="O11" s="5"/>
      <c r="P11" s="5"/>
      <c r="Q11" s="140" t="s">
        <v>169</v>
      </c>
      <c r="R11" s="5" t="s">
        <v>665</v>
      </c>
      <c r="S11" s="161" t="s">
        <v>669</v>
      </c>
      <c r="T11" s="5">
        <v>84.38</v>
      </c>
      <c r="U11" s="5">
        <f t="shared" si="0"/>
        <v>16.876000000000001</v>
      </c>
      <c r="V11" s="5"/>
      <c r="W11" s="10"/>
    </row>
    <row r="12" spans="1:23" x14ac:dyDescent="0.25">
      <c r="B12" t="s">
        <v>676</v>
      </c>
      <c r="N12" s="5"/>
      <c r="O12" s="142"/>
      <c r="P12" s="142"/>
      <c r="Q12" s="140" t="s">
        <v>165</v>
      </c>
      <c r="R12" s="5" t="s">
        <v>666</v>
      </c>
      <c r="S12" s="5" t="s">
        <v>667</v>
      </c>
      <c r="T12" s="5">
        <v>9.5220000000000002</v>
      </c>
      <c r="U12" s="5">
        <f t="shared" si="0"/>
        <v>1.9044000000000001</v>
      </c>
      <c r="V12" s="5"/>
      <c r="W12" s="10"/>
    </row>
    <row r="13" spans="1:23" x14ac:dyDescent="0.25">
      <c r="B13" t="s">
        <v>677</v>
      </c>
      <c r="N13" s="5"/>
      <c r="O13" s="5"/>
      <c r="P13" s="5"/>
      <c r="Q13" s="140" t="s">
        <v>169</v>
      </c>
      <c r="R13" s="5" t="s">
        <v>666</v>
      </c>
      <c r="S13" s="5" t="s">
        <v>667</v>
      </c>
      <c r="T13" s="5">
        <v>84.38</v>
      </c>
      <c r="U13" s="5">
        <f t="shared" si="0"/>
        <v>16.876000000000001</v>
      </c>
      <c r="V13" s="5"/>
      <c r="W13" s="10"/>
    </row>
    <row r="14" spans="1:23" x14ac:dyDescent="0.25">
      <c r="C14" t="s">
        <v>678</v>
      </c>
      <c r="N14" s="5"/>
      <c r="O14" s="5"/>
      <c r="P14" s="5"/>
      <c r="Q14" s="140" t="s">
        <v>165</v>
      </c>
      <c r="R14" s="5" t="s">
        <v>666</v>
      </c>
      <c r="S14" s="161" t="s">
        <v>668</v>
      </c>
      <c r="T14" s="5">
        <v>8.7850000000000001</v>
      </c>
      <c r="U14" s="5">
        <f t="shared" si="0"/>
        <v>1.7570000000000001</v>
      </c>
      <c r="V14" s="5"/>
      <c r="W14" s="10"/>
    </row>
    <row r="15" spans="1:23" x14ac:dyDescent="0.25">
      <c r="C15" t="s">
        <v>679</v>
      </c>
      <c r="N15" s="5"/>
      <c r="O15" s="5"/>
      <c r="P15" s="5"/>
      <c r="Q15" s="140" t="s">
        <v>169</v>
      </c>
      <c r="R15" s="5" t="s">
        <v>666</v>
      </c>
      <c r="S15" s="161" t="s">
        <v>668</v>
      </c>
      <c r="T15" s="5">
        <v>84.38</v>
      </c>
      <c r="U15" s="5">
        <f t="shared" si="0"/>
        <v>16.876000000000001</v>
      </c>
      <c r="V15" s="5"/>
      <c r="W15" s="10"/>
    </row>
    <row r="16" spans="1:23" x14ac:dyDescent="0.25">
      <c r="C16" t="s">
        <v>680</v>
      </c>
      <c r="N16" s="5"/>
      <c r="O16" s="5"/>
      <c r="P16" s="5"/>
      <c r="Q16" s="140" t="s">
        <v>165</v>
      </c>
      <c r="R16" s="5" t="s">
        <v>666</v>
      </c>
      <c r="S16" s="161" t="s">
        <v>669</v>
      </c>
      <c r="T16" s="5">
        <v>7.8620000000000001</v>
      </c>
      <c r="U16" s="5">
        <f t="shared" si="0"/>
        <v>1.5724</v>
      </c>
      <c r="V16" s="5"/>
      <c r="W16" s="10"/>
    </row>
    <row r="17" spans="1:23" x14ac:dyDescent="0.25">
      <c r="D17" t="s">
        <v>681</v>
      </c>
      <c r="N17" s="5"/>
      <c r="O17" s="5"/>
      <c r="P17" s="5"/>
      <c r="Q17" s="140" t="s">
        <v>169</v>
      </c>
      <c r="R17" s="5" t="s">
        <v>666</v>
      </c>
      <c r="S17" s="161" t="s">
        <v>669</v>
      </c>
      <c r="T17" s="5">
        <v>84.38</v>
      </c>
      <c r="U17" s="5">
        <f t="shared" si="0"/>
        <v>16.876000000000001</v>
      </c>
      <c r="V17" s="5"/>
      <c r="W17" s="10"/>
    </row>
    <row r="18" spans="1:23" x14ac:dyDescent="0.25">
      <c r="D18" t="s">
        <v>682</v>
      </c>
      <c r="N18" s="5"/>
      <c r="O18" s="5"/>
      <c r="P18" s="5"/>
      <c r="Q18" s="140"/>
      <c r="R18" s="5"/>
      <c r="S18" s="161"/>
      <c r="T18" s="5"/>
      <c r="U18" s="5"/>
      <c r="V18" s="5"/>
      <c r="W18" s="10"/>
    </row>
    <row r="19" spans="1:23" x14ac:dyDescent="0.25">
      <c r="D19" t="s">
        <v>683</v>
      </c>
      <c r="N19" s="5"/>
      <c r="O19" s="5"/>
      <c r="P19" s="5"/>
      <c r="Q19" s="140"/>
      <c r="R19" s="5"/>
      <c r="S19" s="161"/>
      <c r="T19" s="5"/>
      <c r="U19" s="5"/>
      <c r="V19" s="5"/>
      <c r="W19" s="10"/>
    </row>
    <row r="20" spans="1:23" x14ac:dyDescent="0.25">
      <c r="B20" t="s">
        <v>687</v>
      </c>
      <c r="N20" s="10"/>
      <c r="O20" s="10"/>
      <c r="P20" s="10"/>
      <c r="Q20" s="120"/>
      <c r="R20" s="10"/>
      <c r="S20" s="164"/>
      <c r="T20" s="10"/>
      <c r="U20" s="10"/>
      <c r="V20" s="10"/>
      <c r="W20" s="10"/>
    </row>
    <row r="21" spans="1:23" x14ac:dyDescent="0.25">
      <c r="N21" s="10"/>
      <c r="O21" s="10"/>
      <c r="P21" s="10"/>
      <c r="Q21" s="10"/>
      <c r="R21" s="10"/>
      <c r="S21" s="10"/>
      <c r="T21" s="10"/>
      <c r="U21" s="10"/>
      <c r="V21" s="10"/>
      <c r="W21" s="10"/>
    </row>
    <row r="22" spans="1:23" x14ac:dyDescent="0.25">
      <c r="N22" s="10"/>
      <c r="O22" s="10"/>
      <c r="P22" s="10"/>
      <c r="Q22" s="10"/>
      <c r="R22" s="10"/>
      <c r="S22" s="10"/>
      <c r="T22" s="10"/>
      <c r="U22" s="10"/>
      <c r="V22" s="10"/>
      <c r="W22" s="10"/>
    </row>
    <row r="23" spans="1:23" x14ac:dyDescent="0.25">
      <c r="N23" s="10"/>
      <c r="O23" s="10"/>
      <c r="P23" s="10"/>
      <c r="Q23" s="10"/>
      <c r="R23" s="10"/>
      <c r="S23" s="10"/>
      <c r="T23" s="10"/>
      <c r="U23" s="10"/>
      <c r="V23" s="10"/>
      <c r="W23" s="10"/>
    </row>
    <row r="24" spans="1:23" x14ac:dyDescent="0.25">
      <c r="N24" s="10"/>
      <c r="O24" s="10"/>
      <c r="P24" s="10"/>
      <c r="Q24" s="120"/>
      <c r="R24" s="10"/>
      <c r="S24" s="10"/>
      <c r="T24" s="10"/>
      <c r="U24" s="10"/>
      <c r="V24" s="10"/>
      <c r="W24" s="10"/>
    </row>
    <row r="25" spans="1:23" x14ac:dyDescent="0.25">
      <c r="P25" s="10"/>
      <c r="Q25" s="120"/>
      <c r="R25" s="10"/>
    </row>
    <row r="26" spans="1:23" x14ac:dyDescent="0.25">
      <c r="P26" s="10"/>
      <c r="Q26" s="120"/>
      <c r="R26" s="10"/>
    </row>
    <row r="27" spans="1:23" x14ac:dyDescent="0.25">
      <c r="P27" s="10"/>
      <c r="Q27" s="120"/>
      <c r="R27" s="10"/>
    </row>
    <row r="28" spans="1:23" x14ac:dyDescent="0.25">
      <c r="A28" t="s">
        <v>445</v>
      </c>
      <c r="P28" s="10"/>
      <c r="Q28" s="120"/>
      <c r="R28" s="10"/>
    </row>
    <row r="29" spans="1:23" x14ac:dyDescent="0.25">
      <c r="B29" t="s">
        <v>446</v>
      </c>
      <c r="P29" s="10"/>
      <c r="Q29" s="120"/>
      <c r="R29" s="10"/>
    </row>
    <row r="30" spans="1:23" x14ac:dyDescent="0.25">
      <c r="B30" t="s">
        <v>367</v>
      </c>
    </row>
    <row r="31" spans="1:23" x14ac:dyDescent="0.25">
      <c r="B31" t="s">
        <v>368</v>
      </c>
    </row>
    <row r="32" spans="1:23" x14ac:dyDescent="0.25">
      <c r="A32" t="s">
        <v>626</v>
      </c>
    </row>
    <row r="33" spans="1:3" x14ac:dyDescent="0.25">
      <c r="B33" t="s">
        <v>369</v>
      </c>
    </row>
    <row r="34" spans="1:3" x14ac:dyDescent="0.25">
      <c r="B34" t="s">
        <v>370</v>
      </c>
    </row>
    <row r="35" spans="1:3" x14ac:dyDescent="0.25">
      <c r="B35" t="s">
        <v>371</v>
      </c>
    </row>
    <row r="36" spans="1:3" x14ac:dyDescent="0.25">
      <c r="B36" t="s">
        <v>627</v>
      </c>
    </row>
    <row r="37" spans="1:3" x14ac:dyDescent="0.25">
      <c r="A37" t="s">
        <v>628</v>
      </c>
    </row>
    <row r="38" spans="1:3" x14ac:dyDescent="0.25">
      <c r="B38" t="s">
        <v>630</v>
      </c>
    </row>
    <row r="39" spans="1:3" x14ac:dyDescent="0.25">
      <c r="B39" t="s">
        <v>631</v>
      </c>
    </row>
    <row r="40" spans="1:3" x14ac:dyDescent="0.25">
      <c r="A40" t="s">
        <v>629</v>
      </c>
    </row>
    <row r="41" spans="1:3" x14ac:dyDescent="0.25">
      <c r="B41" t="s">
        <v>632</v>
      </c>
    </row>
    <row r="42" spans="1:3" x14ac:dyDescent="0.25">
      <c r="B42" t="s">
        <v>633</v>
      </c>
    </row>
    <row r="43" spans="1:3" x14ac:dyDescent="0.25">
      <c r="B43" t="s">
        <v>634</v>
      </c>
    </row>
    <row r="44" spans="1:3" x14ac:dyDescent="0.25">
      <c r="C44" t="s">
        <v>635</v>
      </c>
    </row>
    <row r="45" spans="1:3" x14ac:dyDescent="0.25">
      <c r="A45" t="s">
        <v>447</v>
      </c>
    </row>
    <row r="46" spans="1:3" x14ac:dyDescent="0.25">
      <c r="B46" t="s">
        <v>448</v>
      </c>
    </row>
    <row r="47" spans="1:3" x14ac:dyDescent="0.25">
      <c r="A47" t="s">
        <v>449</v>
      </c>
    </row>
    <row r="48" spans="1:3" x14ac:dyDescent="0.25">
      <c r="B48" t="s">
        <v>450</v>
      </c>
    </row>
    <row r="49" spans="1:3" x14ac:dyDescent="0.25">
      <c r="B49" t="s">
        <v>452</v>
      </c>
    </row>
    <row r="50" spans="1:3" x14ac:dyDescent="0.25">
      <c r="C50" t="s">
        <v>451</v>
      </c>
    </row>
    <row r="51" spans="1:3" x14ac:dyDescent="0.25">
      <c r="A51" t="s">
        <v>453</v>
      </c>
    </row>
    <row r="52" spans="1:3" x14ac:dyDescent="0.25">
      <c r="B52" t="s">
        <v>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0"/>
  <sheetViews>
    <sheetView workbookViewId="0">
      <selection activeCell="A35" sqref="A35"/>
    </sheetView>
  </sheetViews>
  <sheetFormatPr defaultRowHeight="15" x14ac:dyDescent="0.25"/>
  <cols>
    <col min="3" max="3" width="12" customWidth="1"/>
    <col min="25" max="25" width="10.85546875" customWidth="1"/>
    <col min="30" max="55" width="9.140625" style="10"/>
  </cols>
  <sheetData>
    <row r="1" spans="1:53" x14ac:dyDescent="0.25">
      <c r="A1" t="s">
        <v>395</v>
      </c>
    </row>
    <row r="2" spans="1:53" x14ac:dyDescent="0.25">
      <c r="A2" t="s">
        <v>223</v>
      </c>
      <c r="O2" t="s">
        <v>219</v>
      </c>
      <c r="AE2" s="81"/>
    </row>
    <row r="3" spans="1:53" x14ac:dyDescent="0.25">
      <c r="P3" t="s">
        <v>220</v>
      </c>
      <c r="AE3" s="81"/>
    </row>
    <row r="4" spans="1:53" x14ac:dyDescent="0.25">
      <c r="A4" t="s">
        <v>228</v>
      </c>
      <c r="P4" t="s">
        <v>257</v>
      </c>
      <c r="AE4" s="109"/>
      <c r="AF4" s="109"/>
    </row>
    <row r="5" spans="1:53" x14ac:dyDescent="0.25">
      <c r="A5" s="59" t="s">
        <v>225</v>
      </c>
      <c r="P5" t="s">
        <v>221</v>
      </c>
    </row>
    <row r="6" spans="1:53" x14ac:dyDescent="0.25">
      <c r="A6" t="s">
        <v>183</v>
      </c>
      <c r="B6" t="s">
        <v>237</v>
      </c>
      <c r="P6" t="s">
        <v>222</v>
      </c>
      <c r="V6" s="7"/>
      <c r="AE6" s="118"/>
    </row>
    <row r="7" spans="1:53" x14ac:dyDescent="0.25">
      <c r="A7">
        <v>455</v>
      </c>
      <c r="B7">
        <f>ParameterEstimation650MWPlant!D23</f>
        <v>455</v>
      </c>
      <c r="C7" t="s">
        <v>41</v>
      </c>
      <c r="D7" t="s">
        <v>224</v>
      </c>
      <c r="AE7" s="118"/>
      <c r="AV7" s="119"/>
    </row>
    <row r="8" spans="1:53" x14ac:dyDescent="0.25">
      <c r="A8">
        <v>158.69999999999999</v>
      </c>
      <c r="B8">
        <f>ParameterEstimation650MWPlant!D22-ParameterEstimation650MWPlant!D23</f>
        <v>158.70000000000005</v>
      </c>
      <c r="C8" t="s">
        <v>41</v>
      </c>
      <c r="D8" t="s">
        <v>236</v>
      </c>
      <c r="T8" t="s">
        <v>229</v>
      </c>
      <c r="U8">
        <v>0</v>
      </c>
      <c r="V8">
        <v>1</v>
      </c>
      <c r="W8">
        <v>2</v>
      </c>
      <c r="X8">
        <v>3</v>
      </c>
      <c r="AE8" s="118"/>
      <c r="AV8" s="120"/>
    </row>
    <row r="9" spans="1:53" x14ac:dyDescent="0.25">
      <c r="A9">
        <v>7431</v>
      </c>
      <c r="B9">
        <f>ParameterEstimation650MWPlant!F23</f>
        <v>7431</v>
      </c>
      <c r="C9" t="s">
        <v>42</v>
      </c>
      <c r="D9" t="s">
        <v>227</v>
      </c>
      <c r="T9" s="105" t="s">
        <v>230</v>
      </c>
      <c r="AV9" s="120"/>
      <c r="BA9" s="81"/>
    </row>
    <row r="10" spans="1:53" x14ac:dyDescent="0.25">
      <c r="A10">
        <v>46.53</v>
      </c>
      <c r="B10">
        <f>ParameterEstimation650MWPlant!E23</f>
        <v>46.53</v>
      </c>
      <c r="C10" t="s">
        <v>41</v>
      </c>
      <c r="D10" t="s">
        <v>166</v>
      </c>
      <c r="P10" s="59"/>
      <c r="T10" s="99" t="s">
        <v>238</v>
      </c>
      <c r="U10" s="97">
        <f>A7</f>
        <v>455</v>
      </c>
      <c r="V10" s="97">
        <f>A7</f>
        <v>455</v>
      </c>
      <c r="W10" s="97">
        <f>A7</f>
        <v>455</v>
      </c>
      <c r="X10" s="97">
        <f>A7</f>
        <v>455</v>
      </c>
      <c r="AV10" s="119"/>
    </row>
    <row r="11" spans="1:53" x14ac:dyDescent="0.25">
      <c r="A11">
        <f>A8-A10</f>
        <v>112.16999999999999</v>
      </c>
      <c r="B11" t="s">
        <v>45</v>
      </c>
      <c r="C11" t="s">
        <v>41</v>
      </c>
      <c r="D11" t="s">
        <v>231</v>
      </c>
      <c r="T11" s="99" t="s">
        <v>239</v>
      </c>
      <c r="U11" s="97">
        <f>A9</f>
        <v>7431</v>
      </c>
      <c r="V11" s="97">
        <f>A9</f>
        <v>7431</v>
      </c>
      <c r="W11" s="97">
        <f>A9</f>
        <v>7431</v>
      </c>
      <c r="X11" s="97">
        <f>A9</f>
        <v>7431</v>
      </c>
      <c r="AE11" s="118"/>
      <c r="AV11" s="120"/>
    </row>
    <row r="12" spans="1:53" x14ac:dyDescent="0.25">
      <c r="A12">
        <v>2.1356E-2</v>
      </c>
      <c r="B12">
        <f>1/ParameterEstimation650MWPlant!A72</f>
        <v>2.1356479612434403E-2</v>
      </c>
      <c r="C12" t="s">
        <v>249</v>
      </c>
      <c r="D12" t="s">
        <v>248</v>
      </c>
      <c r="T12" s="99" t="s">
        <v>235</v>
      </c>
      <c r="U12" s="97">
        <f>A10</f>
        <v>46.53</v>
      </c>
      <c r="V12" s="97">
        <f>A10</f>
        <v>46.53</v>
      </c>
      <c r="W12" s="97">
        <f>A10</f>
        <v>46.53</v>
      </c>
      <c r="X12" s="97">
        <f>A10</f>
        <v>46.53</v>
      </c>
      <c r="AV12" s="120"/>
    </row>
    <row r="13" spans="1:53" x14ac:dyDescent="0.25">
      <c r="A13">
        <v>6.123E-2</v>
      </c>
      <c r="B13">
        <f>ParameterEstimation650MWPlant!A74</f>
        <v>6.1229982505719281E-2</v>
      </c>
      <c r="C13" t="s">
        <v>249</v>
      </c>
      <c r="D13" t="s">
        <v>253</v>
      </c>
      <c r="T13" s="99" t="s">
        <v>234</v>
      </c>
      <c r="U13" s="97">
        <f>A11</f>
        <v>112.16999999999999</v>
      </c>
      <c r="V13" s="97">
        <f>A11</f>
        <v>112.16999999999999</v>
      </c>
      <c r="W13" s="97">
        <f>A11</f>
        <v>112.16999999999999</v>
      </c>
      <c r="X13" s="97">
        <f>A11</f>
        <v>112.16999999999999</v>
      </c>
      <c r="AV13" s="120"/>
    </row>
    <row r="14" spans="1:53" x14ac:dyDescent="0.25">
      <c r="A14">
        <f>A11/(A10+A11)</f>
        <v>0.70680529300567108</v>
      </c>
      <c r="B14" t="s">
        <v>45</v>
      </c>
      <c r="C14" t="s">
        <v>139</v>
      </c>
      <c r="D14" t="s">
        <v>259</v>
      </c>
      <c r="T14" s="99" t="s">
        <v>233</v>
      </c>
      <c r="U14" s="97">
        <f>U13+U12</f>
        <v>158.69999999999999</v>
      </c>
      <c r="V14" s="97">
        <f>V13+V12</f>
        <v>158.69999999999999</v>
      </c>
      <c r="W14" s="97">
        <f>W13+W12</f>
        <v>158.69999999999999</v>
      </c>
      <c r="X14" s="97">
        <f>X13+X12</f>
        <v>158.69999999999999</v>
      </c>
      <c r="AV14" s="120"/>
    </row>
    <row r="15" spans="1:53" x14ac:dyDescent="0.25">
      <c r="A15">
        <f>A10/(A11+A10)</f>
        <v>0.29319470699432892</v>
      </c>
      <c r="B15" t="s">
        <v>45</v>
      </c>
      <c r="C15" t="s">
        <v>139</v>
      </c>
      <c r="D15" t="s">
        <v>260</v>
      </c>
      <c r="T15" s="99"/>
      <c r="U15" s="97"/>
      <c r="W15" s="97"/>
      <c r="X15">
        <f>SUM(U10:X10)</f>
        <v>1820</v>
      </c>
      <c r="Y15" s="59" t="s">
        <v>267</v>
      </c>
      <c r="AV15" s="120"/>
      <c r="BA15" s="121"/>
    </row>
    <row r="16" spans="1:53" x14ac:dyDescent="0.25">
      <c r="A16">
        <v>9.7786299999999997</v>
      </c>
      <c r="B16">
        <f>ParameterEstimation650MWPlant!D23/ParameterEstimation650MWPlant!E23</f>
        <v>9.7786374382119057</v>
      </c>
      <c r="C16" t="s">
        <v>139</v>
      </c>
      <c r="D16" t="s">
        <v>349</v>
      </c>
      <c r="T16" s="105" t="s">
        <v>232</v>
      </c>
      <c r="U16" s="97"/>
      <c r="V16" s="97"/>
      <c r="W16" s="97"/>
      <c r="X16" s="97"/>
      <c r="Z16" s="7" t="s">
        <v>279</v>
      </c>
      <c r="AE16" s="81"/>
      <c r="AK16" s="120"/>
      <c r="AV16" s="120"/>
    </row>
    <row r="17" spans="1:53" x14ac:dyDescent="0.25">
      <c r="A17">
        <v>12.10852</v>
      </c>
      <c r="B17">
        <f>ParameterEstimation650MWPlant!F23/(ParameterEstimation650MWPlant!D23+ParameterEstimation650MWPlant!A71)</f>
        <v>12.108522079191786</v>
      </c>
      <c r="C17" t="s">
        <v>372</v>
      </c>
      <c r="D17" t="s">
        <v>373</v>
      </c>
      <c r="T17" s="99" t="s">
        <v>264</v>
      </c>
      <c r="U17" s="97">
        <f>A7</f>
        <v>455</v>
      </c>
      <c r="V17" s="97">
        <f>V21*A13</f>
        <v>289.92405000000002</v>
      </c>
      <c r="W17" s="97">
        <f>A7</f>
        <v>455</v>
      </c>
      <c r="X17" s="97">
        <f>X21*A13</f>
        <v>332.54012999999998</v>
      </c>
      <c r="Y17" t="s">
        <v>281</v>
      </c>
      <c r="Z17">
        <f>Z20*A13</f>
        <v>0</v>
      </c>
      <c r="AE17" s="122"/>
      <c r="AK17" s="120"/>
      <c r="AV17" s="120"/>
      <c r="AZ17" s="121"/>
    </row>
    <row r="18" spans="1:53" x14ac:dyDescent="0.25">
      <c r="T18" s="99" t="s">
        <v>265</v>
      </c>
      <c r="U18">
        <v>0</v>
      </c>
      <c r="V18">
        <v>0</v>
      </c>
      <c r="W18">
        <v>0</v>
      </c>
      <c r="X18">
        <f>$A$30*X24</f>
        <v>161.86199999999999</v>
      </c>
      <c r="Y18" t="s">
        <v>282</v>
      </c>
      <c r="Z18">
        <f>$A$30*Z22</f>
        <v>601.39826100000005</v>
      </c>
      <c r="AE18" s="118"/>
      <c r="AK18" s="120"/>
      <c r="AV18" s="120"/>
    </row>
    <row r="19" spans="1:53" x14ac:dyDescent="0.25">
      <c r="T19" s="99" t="s">
        <v>266</v>
      </c>
      <c r="U19">
        <f>U18+U17</f>
        <v>455</v>
      </c>
      <c r="V19">
        <f>V18+V17</f>
        <v>289.92405000000002</v>
      </c>
      <c r="W19">
        <f>W18+W17</f>
        <v>455</v>
      </c>
      <c r="X19">
        <f>X18+X17</f>
        <v>494.40212999999994</v>
      </c>
      <c r="Y19" s="97" t="s">
        <v>278</v>
      </c>
      <c r="Z19">
        <f>Z18+Z17</f>
        <v>601.39826100000005</v>
      </c>
      <c r="AE19" s="123"/>
      <c r="AK19" s="120"/>
      <c r="AV19" s="120"/>
    </row>
    <row r="20" spans="1:53" x14ac:dyDescent="0.25">
      <c r="A20" s="59" t="s">
        <v>226</v>
      </c>
      <c r="T20" s="99" t="s">
        <v>378</v>
      </c>
      <c r="U20" s="97">
        <f>A9</f>
        <v>7431</v>
      </c>
      <c r="V20" s="97">
        <f>U20-V23</f>
        <v>5431</v>
      </c>
      <c r="W20" s="97">
        <f>W11</f>
        <v>7431</v>
      </c>
      <c r="X20" s="97">
        <f>W25-X24</f>
        <v>5431</v>
      </c>
      <c r="Y20" s="97" t="s">
        <v>284</v>
      </c>
      <c r="Z20">
        <f>W25-Z22</f>
        <v>0</v>
      </c>
      <c r="AK20" s="120"/>
      <c r="AV20" s="120"/>
    </row>
    <row r="21" spans="1:53" x14ac:dyDescent="0.25">
      <c r="A21" t="s">
        <v>183</v>
      </c>
      <c r="B21" t="s">
        <v>237</v>
      </c>
      <c r="T21" s="99" t="s">
        <v>379</v>
      </c>
      <c r="U21">
        <f>U20</f>
        <v>7431</v>
      </c>
      <c r="V21">
        <f>5000-198-51-13-3</f>
        <v>4735</v>
      </c>
      <c r="W21">
        <f>W20</f>
        <v>7431</v>
      </c>
      <c r="X21">
        <f>X20</f>
        <v>5431</v>
      </c>
      <c r="Z21">
        <v>0</v>
      </c>
      <c r="AK21" s="120"/>
      <c r="AV21" s="120"/>
    </row>
    <row r="22" spans="1:53" x14ac:dyDescent="0.25">
      <c r="A22">
        <v>601.4</v>
      </c>
      <c r="B22">
        <f>ParameterEstimation650MWPlant!D24</f>
        <v>601.4</v>
      </c>
      <c r="C22" t="s">
        <v>41</v>
      </c>
      <c r="D22" t="s">
        <v>224</v>
      </c>
      <c r="T22" s="99" t="s">
        <v>380</v>
      </c>
      <c r="U22">
        <f>U20-U21</f>
        <v>0</v>
      </c>
      <c r="V22" s="110">
        <f>V20-V21</f>
        <v>696</v>
      </c>
      <c r="W22">
        <f>W20-W21</f>
        <v>0</v>
      </c>
      <c r="X22">
        <f>X20-X21</f>
        <v>0</v>
      </c>
      <c r="Y22" t="s">
        <v>283</v>
      </c>
      <c r="Z22">
        <v>7431</v>
      </c>
      <c r="AE22" s="109"/>
      <c r="AF22" s="109"/>
      <c r="AK22" s="120"/>
      <c r="AV22" s="120"/>
    </row>
    <row r="23" spans="1:53" x14ac:dyDescent="0.25">
      <c r="A23">
        <v>7431</v>
      </c>
      <c r="B23">
        <f>ParameterEstimation650MWPlant!F24</f>
        <v>7431</v>
      </c>
      <c r="C23" t="s">
        <v>42</v>
      </c>
      <c r="D23" t="s">
        <v>227</v>
      </c>
      <c r="T23" s="99" t="s">
        <v>262</v>
      </c>
      <c r="U23" s="97">
        <v>0</v>
      </c>
      <c r="V23" s="97">
        <f>A26</f>
        <v>2000</v>
      </c>
      <c r="W23" s="97">
        <v>0</v>
      </c>
      <c r="X23" s="97">
        <v>0</v>
      </c>
      <c r="Y23" t="s">
        <v>280</v>
      </c>
      <c r="Z23">
        <f>Z20+Z22</f>
        <v>7431</v>
      </c>
      <c r="AF23" s="109"/>
      <c r="AK23" s="120"/>
      <c r="BA23" s="81"/>
    </row>
    <row r="24" spans="1:53" x14ac:dyDescent="0.25">
      <c r="A24">
        <v>4.55</v>
      </c>
      <c r="B24">
        <f>ParameterEstimation650MWPlant!E24</f>
        <v>4.55</v>
      </c>
      <c r="C24" t="s">
        <v>41</v>
      </c>
      <c r="D24" t="s">
        <v>166</v>
      </c>
      <c r="T24" s="99" t="s">
        <v>263</v>
      </c>
      <c r="U24" s="97">
        <v>0</v>
      </c>
      <c r="V24" s="97">
        <v>0</v>
      </c>
      <c r="W24" s="97">
        <v>0</v>
      </c>
      <c r="X24" s="97">
        <f>W27</f>
        <v>2000</v>
      </c>
      <c r="Z24">
        <f>Z22</f>
        <v>7431</v>
      </c>
    </row>
    <row r="25" spans="1:53" x14ac:dyDescent="0.25">
      <c r="A25">
        <v>0</v>
      </c>
      <c r="B25" t="s">
        <v>45</v>
      </c>
      <c r="C25" t="s">
        <v>41</v>
      </c>
      <c r="D25" t="s">
        <v>231</v>
      </c>
      <c r="T25" s="99" t="s">
        <v>275</v>
      </c>
      <c r="U25">
        <f>U20+U24</f>
        <v>7431</v>
      </c>
      <c r="V25">
        <f>V20+V24</f>
        <v>5431</v>
      </c>
      <c r="W25">
        <f>W20+W24</f>
        <v>7431</v>
      </c>
      <c r="X25">
        <f>X20+X24</f>
        <v>7431</v>
      </c>
      <c r="Z25">
        <v>0</v>
      </c>
    </row>
    <row r="26" spans="1:53" x14ac:dyDescent="0.25">
      <c r="A26">
        <v>2000</v>
      </c>
      <c r="B26" t="s">
        <v>45</v>
      </c>
      <c r="C26" t="s">
        <v>42</v>
      </c>
      <c r="D26" t="s">
        <v>252</v>
      </c>
      <c r="T26" s="99" t="s">
        <v>240</v>
      </c>
      <c r="U26" s="97">
        <f>A27</f>
        <v>2000</v>
      </c>
      <c r="V26" s="97">
        <f>U26-V23</f>
        <v>0</v>
      </c>
      <c r="W26" s="97">
        <f>V26</f>
        <v>0</v>
      </c>
      <c r="X26" s="97">
        <f>X24</f>
        <v>2000</v>
      </c>
      <c r="Z26" s="97">
        <f>Z20*$A$29</f>
        <v>0</v>
      </c>
      <c r="AE26" s="109"/>
    </row>
    <row r="27" spans="1:53" x14ac:dyDescent="0.25">
      <c r="A27">
        <f>A26</f>
        <v>2000</v>
      </c>
      <c r="B27" t="s">
        <v>45</v>
      </c>
      <c r="C27" t="s">
        <v>42</v>
      </c>
      <c r="D27" t="s">
        <v>251</v>
      </c>
      <c r="T27" s="99" t="s">
        <v>241</v>
      </c>
      <c r="U27" s="97">
        <f>A28</f>
        <v>0</v>
      </c>
      <c r="V27" s="97">
        <f>U27+V23</f>
        <v>2000</v>
      </c>
      <c r="W27" s="97">
        <f>V27</f>
        <v>2000</v>
      </c>
      <c r="X27" s="97">
        <v>0</v>
      </c>
      <c r="Z27" s="97">
        <f>Z26*$A$15</f>
        <v>0</v>
      </c>
      <c r="AV27" s="119"/>
    </row>
    <row r="28" spans="1:53" x14ac:dyDescent="0.25">
      <c r="A28">
        <v>0</v>
      </c>
      <c r="B28" t="s">
        <v>45</v>
      </c>
      <c r="C28" t="s">
        <v>42</v>
      </c>
      <c r="D28" t="s">
        <v>250</v>
      </c>
      <c r="T28" s="99" t="s">
        <v>261</v>
      </c>
      <c r="U28" s="97">
        <f>U20*$A$29</f>
        <v>158.69643600000001</v>
      </c>
      <c r="V28" s="97">
        <f>V20*$A$29</f>
        <v>115.984436</v>
      </c>
      <c r="W28" s="97">
        <f>W20*$A$29</f>
        <v>158.69643600000001</v>
      </c>
      <c r="X28" s="97">
        <f>X20*$A$29</f>
        <v>115.984436</v>
      </c>
      <c r="Z28" s="97">
        <f>Z26*$A$14</f>
        <v>0</v>
      </c>
      <c r="AV28" s="120"/>
    </row>
    <row r="29" spans="1:53" x14ac:dyDescent="0.25">
      <c r="A29">
        <f>A12</f>
        <v>2.1356E-2</v>
      </c>
      <c r="B29" t="s">
        <v>45</v>
      </c>
      <c r="C29" t="s">
        <v>249</v>
      </c>
      <c r="D29" t="s">
        <v>254</v>
      </c>
      <c r="T29" s="99" t="s">
        <v>244</v>
      </c>
      <c r="U29" s="97">
        <f>U28*$A$15</f>
        <v>46.528955054064276</v>
      </c>
      <c r="V29" s="97">
        <f>V28*$A$15</f>
        <v>34.006022728922495</v>
      </c>
      <c r="W29" s="97">
        <f>W28*$A$15</f>
        <v>46.528955054064276</v>
      </c>
      <c r="X29" s="97">
        <f>X28*$A$15</f>
        <v>34.006022728922495</v>
      </c>
      <c r="Z29" s="97">
        <f>Z21*$A$29</f>
        <v>0</v>
      </c>
      <c r="AV29" s="120"/>
    </row>
    <row r="30" spans="1:53" x14ac:dyDescent="0.25">
      <c r="A30">
        <v>8.0931000000000003E-2</v>
      </c>
      <c r="B30">
        <f>ParameterEstimation650MWPlant!A82</f>
        <v>8.0931234019647413E-2</v>
      </c>
      <c r="C30" t="s">
        <v>249</v>
      </c>
      <c r="D30" t="s">
        <v>269</v>
      </c>
      <c r="T30" s="99" t="s">
        <v>247</v>
      </c>
      <c r="U30" s="97">
        <f>U28*$A$14</f>
        <v>112.16748094593574</v>
      </c>
      <c r="V30" s="97">
        <f>V28*$A$14</f>
        <v>81.9784132710775</v>
      </c>
      <c r="W30" s="97">
        <f>W28*$A$14</f>
        <v>112.16748094593574</v>
      </c>
      <c r="X30" s="97">
        <f>X28*$A$14</f>
        <v>81.9784132710775</v>
      </c>
      <c r="Z30" s="97">
        <f>Z29*$A$15</f>
        <v>0</v>
      </c>
      <c r="AE30" s="122"/>
      <c r="AV30" s="120"/>
    </row>
    <row r="31" spans="1:53" x14ac:dyDescent="0.25">
      <c r="A31">
        <v>3.7895400000000001</v>
      </c>
      <c r="B31">
        <f>ParameterEstimation650MWPlant!A84</f>
        <v>3.789540012602393</v>
      </c>
      <c r="C31" t="s">
        <v>139</v>
      </c>
      <c r="D31" t="s">
        <v>255</v>
      </c>
      <c r="T31" s="99" t="s">
        <v>384</v>
      </c>
      <c r="U31">
        <f>U22*$A$29*$A$15</f>
        <v>0</v>
      </c>
      <c r="V31">
        <f>V22*$A$29*$A$15</f>
        <v>4.3579804491493386</v>
      </c>
      <c r="W31">
        <f>W22*$A$29*$A$15</f>
        <v>0</v>
      </c>
      <c r="X31">
        <f>X22*$A$29*$A$15</f>
        <v>0</v>
      </c>
      <c r="AE31" s="81"/>
      <c r="AV31" s="120"/>
    </row>
    <row r="32" spans="1:53" x14ac:dyDescent="0.25">
      <c r="A32">
        <f>A27*A29</f>
        <v>42.712000000000003</v>
      </c>
      <c r="B32" t="s">
        <v>45</v>
      </c>
      <c r="C32" t="s">
        <v>199</v>
      </c>
      <c r="D32" t="s">
        <v>256</v>
      </c>
      <c r="T32" s="99" t="s">
        <v>258</v>
      </c>
      <c r="U32" s="97">
        <f>U23*$A$29</f>
        <v>0</v>
      </c>
      <c r="V32" s="97">
        <f>V23*$A$29</f>
        <v>42.712000000000003</v>
      </c>
      <c r="W32" s="97">
        <f>W23*$A$29</f>
        <v>0</v>
      </c>
      <c r="X32" s="97">
        <f>X23*$A$29</f>
        <v>0</v>
      </c>
      <c r="Z32" s="97">
        <f>Z29*$A$14</f>
        <v>0</v>
      </c>
      <c r="AV32" s="120"/>
    </row>
    <row r="33" spans="6:53" x14ac:dyDescent="0.25">
      <c r="T33" s="99" t="s">
        <v>245</v>
      </c>
      <c r="U33" s="97">
        <f>U32*$A$15</f>
        <v>0</v>
      </c>
      <c r="V33" s="97">
        <f>V32*$A$15</f>
        <v>12.522932325141777</v>
      </c>
      <c r="W33" s="97">
        <f>W32*$A$15</f>
        <v>0</v>
      </c>
      <c r="X33" s="97">
        <f>X32*$A$15</f>
        <v>0</v>
      </c>
      <c r="Z33" s="97">
        <f>Z30+Z27</f>
        <v>0</v>
      </c>
      <c r="AV33" s="120"/>
    </row>
    <row r="34" spans="6:53" x14ac:dyDescent="0.25">
      <c r="T34" s="99" t="s">
        <v>246</v>
      </c>
      <c r="U34" s="97">
        <f>U32*$A$14</f>
        <v>0</v>
      </c>
      <c r="V34" s="97">
        <f>V32*$A$14</f>
        <v>30.189067674858226</v>
      </c>
      <c r="W34" s="97">
        <f>W32*$A$14</f>
        <v>0</v>
      </c>
      <c r="X34" s="97">
        <f>X32*$A$14</f>
        <v>0</v>
      </c>
      <c r="Z34" s="97">
        <f>Z32+Z28</f>
        <v>0</v>
      </c>
      <c r="AV34" s="120"/>
    </row>
    <row r="35" spans="6:53" x14ac:dyDescent="0.25">
      <c r="T35" s="99" t="s">
        <v>242</v>
      </c>
      <c r="U35" s="97">
        <f t="shared" ref="U35:X36" si="0">U33+U29</f>
        <v>46.528955054064276</v>
      </c>
      <c r="V35" s="97">
        <f t="shared" si="0"/>
        <v>46.528955054064269</v>
      </c>
      <c r="W35" s="97">
        <f t="shared" si="0"/>
        <v>46.528955054064276</v>
      </c>
      <c r="X35" s="97">
        <f t="shared" si="0"/>
        <v>34.006022728922495</v>
      </c>
      <c r="Z35" s="97">
        <f>Z34+Z33</f>
        <v>0</v>
      </c>
      <c r="BA35" s="81"/>
    </row>
    <row r="36" spans="6:53" x14ac:dyDescent="0.25">
      <c r="T36" s="99" t="s">
        <v>243</v>
      </c>
      <c r="U36" s="97">
        <f t="shared" si="0"/>
        <v>112.16748094593574</v>
      </c>
      <c r="V36" s="97">
        <f t="shared" si="0"/>
        <v>112.16748094593572</v>
      </c>
      <c r="W36" s="97">
        <f t="shared" si="0"/>
        <v>112.16748094593574</v>
      </c>
      <c r="X36" s="97">
        <f t="shared" si="0"/>
        <v>81.9784132710775</v>
      </c>
    </row>
    <row r="37" spans="6:53" x14ac:dyDescent="0.25">
      <c r="T37" s="99" t="s">
        <v>233</v>
      </c>
      <c r="U37" s="97">
        <f>U36+U35</f>
        <v>158.69643600000001</v>
      </c>
      <c r="V37" s="97">
        <f>V36+V35</f>
        <v>158.69643600000001</v>
      </c>
      <c r="W37" s="97">
        <f>W36+W35</f>
        <v>158.69643600000001</v>
      </c>
      <c r="X37" s="97">
        <f>X36+X35</f>
        <v>115.98443599999999</v>
      </c>
    </row>
    <row r="38" spans="6:53" x14ac:dyDescent="0.25">
      <c r="F38">
        <f>4431-776-200-52-14-3</f>
        <v>3386</v>
      </c>
      <c r="T38" s="99" t="s">
        <v>374</v>
      </c>
      <c r="U38">
        <f>U17+U18+U37</f>
        <v>613.69643599999995</v>
      </c>
      <c r="V38">
        <f>V17+V18+V37</f>
        <v>448.62048600000003</v>
      </c>
      <c r="W38">
        <f>W17+W18+W37</f>
        <v>613.69643599999995</v>
      </c>
      <c r="X38">
        <f>X17+X18+X37</f>
        <v>610.3865659999999</v>
      </c>
      <c r="AE38" s="121"/>
    </row>
    <row r="39" spans="6:53" x14ac:dyDescent="0.25">
      <c r="T39" s="99" t="s">
        <v>376</v>
      </c>
      <c r="U39">
        <f>U38*$A$17</f>
        <v>7430.9555692347194</v>
      </c>
      <c r="V39">
        <f>V38*$A$17</f>
        <v>5432.1301271407201</v>
      </c>
      <c r="W39">
        <f>W38*$A$17</f>
        <v>7430.9555692347194</v>
      </c>
      <c r="X39" t="s">
        <v>377</v>
      </c>
    </row>
    <row r="40" spans="6:53" x14ac:dyDescent="0.25">
      <c r="T40" s="99" t="s">
        <v>375</v>
      </c>
      <c r="U40" s="110">
        <f>U39-U25</f>
        <v>-4.4430765280594642E-2</v>
      </c>
      <c r="V40" s="110">
        <f>V39-V25</f>
        <v>1.1301271407201057</v>
      </c>
      <c r="W40" s="110">
        <f>W39-W25</f>
        <v>-4.4430765280594642E-2</v>
      </c>
      <c r="X40" s="110" t="s">
        <v>377</v>
      </c>
      <c r="AE40" s="122"/>
      <c r="AY40" s="119"/>
    </row>
    <row r="41" spans="6:53" x14ac:dyDescent="0.25">
      <c r="X41">
        <f>SUM(U19:X19)</f>
        <v>1694.32618</v>
      </c>
      <c r="Y41" s="59" t="s">
        <v>276</v>
      </c>
      <c r="AY41" s="120"/>
    </row>
    <row r="42" spans="6:53" x14ac:dyDescent="0.25">
      <c r="X42">
        <f>X41-X15</f>
        <v>-125.67381999999998</v>
      </c>
      <c r="Y42" s="59" t="s">
        <v>405</v>
      </c>
      <c r="AE42" s="109"/>
      <c r="AF42" s="109"/>
      <c r="AY42" s="120"/>
    </row>
    <row r="43" spans="6:53" x14ac:dyDescent="0.25">
      <c r="X43" s="133">
        <f>X42/X15</f>
        <v>-6.9051549450549435E-2</v>
      </c>
      <c r="Y43" s="59" t="s">
        <v>406</v>
      </c>
      <c r="AY43" s="120"/>
    </row>
    <row r="44" spans="6:53" x14ac:dyDescent="0.25">
      <c r="AY44" s="120"/>
    </row>
    <row r="45" spans="6:53" x14ac:dyDescent="0.25">
      <c r="T45" s="99" t="s">
        <v>381</v>
      </c>
      <c r="U45">
        <f>U28/U38</f>
        <v>0.25859109926458823</v>
      </c>
      <c r="V45">
        <f>V28/V38</f>
        <v>0.25853575487410979</v>
      </c>
      <c r="W45">
        <f>W28/W38</f>
        <v>0.25859109926458823</v>
      </c>
      <c r="X45" t="s">
        <v>377</v>
      </c>
      <c r="AY45" s="120"/>
    </row>
    <row r="46" spans="6:53" x14ac:dyDescent="0.25">
      <c r="T46" s="99" t="s">
        <v>382</v>
      </c>
      <c r="U46">
        <f>U29/U38</f>
        <v>7.5817541580222372E-2</v>
      </c>
      <c r="V46">
        <f>V29/V38</f>
        <v>7.5801314897872257E-2</v>
      </c>
      <c r="W46">
        <f>W29/W38</f>
        <v>7.5817541580222372E-2</v>
      </c>
      <c r="X46" s="110" t="s">
        <v>377</v>
      </c>
      <c r="AE46" s="109"/>
      <c r="AY46" s="120"/>
    </row>
    <row r="47" spans="6:53" x14ac:dyDescent="0.25">
      <c r="T47" s="99" t="s">
        <v>385</v>
      </c>
      <c r="U47" t="s">
        <v>377</v>
      </c>
      <c r="V47" s="125">
        <f>V31/V33</f>
        <v>0.34799999999999998</v>
      </c>
      <c r="W47" t="s">
        <v>377</v>
      </c>
      <c r="X47" t="s">
        <v>377</v>
      </c>
      <c r="AE47" s="81"/>
      <c r="AY47" s="120"/>
    </row>
    <row r="48" spans="6:53" x14ac:dyDescent="0.25">
      <c r="AY48" s="120"/>
    </row>
    <row r="49" spans="20:56" x14ac:dyDescent="0.25">
      <c r="AE49" s="81"/>
      <c r="AY49" s="120"/>
    </row>
    <row r="50" spans="20:56" x14ac:dyDescent="0.25">
      <c r="T50" s="99" t="s">
        <v>363</v>
      </c>
      <c r="U50">
        <f>U19-U10</f>
        <v>0</v>
      </c>
      <c r="V50">
        <f>V19-V10</f>
        <v>-165.07594999999998</v>
      </c>
      <c r="W50">
        <f>W19-W10</f>
        <v>0</v>
      </c>
      <c r="X50">
        <f>X19-X10</f>
        <v>39.402129999999943</v>
      </c>
      <c r="AY50" s="120"/>
      <c r="BC50" s="81"/>
    </row>
    <row r="51" spans="20:56" x14ac:dyDescent="0.25">
      <c r="T51" s="99" t="s">
        <v>364</v>
      </c>
      <c r="U51">
        <v>0</v>
      </c>
      <c r="V51">
        <v>10</v>
      </c>
      <c r="W51">
        <v>0</v>
      </c>
      <c r="X51">
        <v>42</v>
      </c>
    </row>
    <row r="52" spans="20:56" x14ac:dyDescent="0.25">
      <c r="T52" s="99" t="s">
        <v>365</v>
      </c>
      <c r="U52">
        <f>U51*U50</f>
        <v>0</v>
      </c>
      <c r="V52">
        <f>V51*V50</f>
        <v>-1650.7594999999997</v>
      </c>
      <c r="W52">
        <f>W51*W50</f>
        <v>0</v>
      </c>
      <c r="X52">
        <f>X51*X50</f>
        <v>1654.8894599999976</v>
      </c>
      <c r="AY52" s="120"/>
      <c r="BD52" s="108"/>
    </row>
    <row r="53" spans="20:56" x14ac:dyDescent="0.25">
      <c r="T53" s="99"/>
      <c r="X53" s="112">
        <f>X52+V52</f>
        <v>4.1299599999979364</v>
      </c>
      <c r="Y53" t="s">
        <v>383</v>
      </c>
      <c r="AY53" s="120"/>
    </row>
    <row r="54" spans="20:56" x14ac:dyDescent="0.25">
      <c r="AE54" s="122"/>
      <c r="AY54" s="120"/>
    </row>
    <row r="55" spans="20:56" x14ac:dyDescent="0.25">
      <c r="X55" s="59" t="s">
        <v>277</v>
      </c>
      <c r="AE55" s="81"/>
      <c r="AY55" s="120"/>
    </row>
    <row r="56" spans="20:56" x14ac:dyDescent="0.25">
      <c r="X56" s="99" t="s">
        <v>270</v>
      </c>
      <c r="Y56">
        <f>V32</f>
        <v>42.712000000000003</v>
      </c>
      <c r="BD56" s="59"/>
    </row>
    <row r="57" spans="20:56" x14ac:dyDescent="0.25">
      <c r="X57" s="99" t="s">
        <v>271</v>
      </c>
      <c r="Y57" s="97">
        <f>Y56*A31</f>
        <v>161.85883248000002</v>
      </c>
    </row>
    <row r="58" spans="20:56" x14ac:dyDescent="0.25">
      <c r="X58" s="99" t="s">
        <v>272</v>
      </c>
      <c r="Y58">
        <f>U17-V17</f>
        <v>165.07594999999998</v>
      </c>
    </row>
    <row r="59" spans="20:56" x14ac:dyDescent="0.25">
      <c r="X59" s="99" t="s">
        <v>274</v>
      </c>
      <c r="Y59">
        <f>W17-X17</f>
        <v>122.45987000000002</v>
      </c>
    </row>
    <row r="60" spans="20:56" x14ac:dyDescent="0.25">
      <c r="X60" s="99" t="s">
        <v>273</v>
      </c>
      <c r="Y60">
        <f>Y57-Y58-Y59</f>
        <v>-125.67698751999998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8"/>
  <sheetViews>
    <sheetView workbookViewId="0">
      <selection activeCell="M24" sqref="M24"/>
    </sheetView>
  </sheetViews>
  <sheetFormatPr defaultRowHeight="15" x14ac:dyDescent="0.25"/>
  <cols>
    <col min="1" max="1" width="29.28515625" customWidth="1"/>
    <col min="2" max="2" width="26.140625" customWidth="1"/>
    <col min="3" max="5" width="12.5703125" customWidth="1"/>
    <col min="15" max="15" width="19.28515625" customWidth="1"/>
    <col min="19" max="19" width="15.140625" customWidth="1"/>
    <col min="21" max="23" width="15.42578125" customWidth="1"/>
    <col min="24" max="24" width="15.85546875" customWidth="1"/>
    <col min="25" max="25" width="15.42578125" customWidth="1"/>
    <col min="26" max="26" width="13.140625" customWidth="1"/>
    <col min="27" max="27" width="21.28515625" customWidth="1"/>
    <col min="28" max="28" width="13.85546875" customWidth="1"/>
    <col min="29" max="29" width="28.42578125" customWidth="1"/>
    <col min="30" max="30" width="29.42578125" customWidth="1"/>
  </cols>
  <sheetData>
    <row r="1" spans="1:30" x14ac:dyDescent="0.25">
      <c r="A1" s="7" t="s">
        <v>482</v>
      </c>
      <c r="J1" s="23" t="s">
        <v>481</v>
      </c>
      <c r="K1" s="5"/>
      <c r="L1" s="5"/>
      <c r="M1" s="5"/>
      <c r="N1" s="5"/>
      <c r="O1" s="5"/>
      <c r="P1" s="5"/>
      <c r="Q1" s="5"/>
      <c r="R1" s="5"/>
    </row>
    <row r="2" spans="1:30" x14ac:dyDescent="0.25">
      <c r="A2" s="7" t="s">
        <v>570</v>
      </c>
      <c r="J2" s="23" t="s">
        <v>485</v>
      </c>
      <c r="K2" s="5"/>
      <c r="L2" s="5"/>
      <c r="M2" s="5"/>
      <c r="N2" s="5"/>
      <c r="O2" s="5"/>
      <c r="P2" s="5"/>
      <c r="Q2" s="5"/>
      <c r="R2" s="5"/>
    </row>
    <row r="3" spans="1:30" x14ac:dyDescent="0.25">
      <c r="A3" s="126" t="s">
        <v>152</v>
      </c>
      <c r="B3" s="127"/>
      <c r="C3" s="126" t="s">
        <v>160</v>
      </c>
      <c r="D3" s="127"/>
      <c r="E3" s="127"/>
      <c r="F3" s="127"/>
      <c r="G3" s="127"/>
      <c r="H3" s="127"/>
      <c r="I3" s="127"/>
      <c r="J3" s="23" t="s">
        <v>486</v>
      </c>
      <c r="K3" s="5"/>
      <c r="L3" s="5"/>
      <c r="M3" s="5"/>
      <c r="N3" s="5"/>
      <c r="O3" s="5"/>
      <c r="P3" s="5"/>
      <c r="Q3" s="5"/>
      <c r="R3" s="5"/>
      <c r="U3" s="11" t="s">
        <v>202</v>
      </c>
      <c r="V3" s="13"/>
      <c r="W3" s="13"/>
      <c r="X3" s="13"/>
      <c r="Y3" s="13"/>
      <c r="Z3" s="13"/>
      <c r="AA3" s="13"/>
      <c r="AB3" s="13"/>
      <c r="AC3" s="13"/>
      <c r="AD3" s="13"/>
    </row>
    <row r="4" spans="1:30" x14ac:dyDescent="0.25">
      <c r="A4" s="126" t="s">
        <v>153</v>
      </c>
      <c r="B4" s="127"/>
      <c r="C4" s="128" t="s">
        <v>161</v>
      </c>
      <c r="D4" s="127"/>
      <c r="E4" s="127"/>
      <c r="F4" s="127"/>
      <c r="G4" s="127"/>
      <c r="H4" s="127"/>
      <c r="I4" s="127"/>
      <c r="J4" s="5"/>
      <c r="K4" s="5"/>
      <c r="L4" s="5"/>
      <c r="M4" s="21" t="s">
        <v>168</v>
      </c>
      <c r="N4" s="5"/>
      <c r="O4" s="5"/>
      <c r="P4" s="5"/>
      <c r="Q4" s="5"/>
      <c r="R4" s="5"/>
      <c r="U4" s="13" t="s">
        <v>203</v>
      </c>
      <c r="V4" s="13"/>
      <c r="W4" s="13"/>
      <c r="X4" s="13"/>
      <c r="Y4" s="13"/>
      <c r="Z4" s="13"/>
      <c r="AA4" s="13"/>
      <c r="AB4" s="13"/>
      <c r="AC4" s="13"/>
      <c r="AD4" s="13"/>
    </row>
    <row r="5" spans="1:30" x14ac:dyDescent="0.25">
      <c r="A5" s="127" t="s">
        <v>146</v>
      </c>
      <c r="B5" s="127"/>
      <c r="C5" s="127"/>
      <c r="D5" s="127"/>
      <c r="E5" s="127"/>
      <c r="F5" s="127"/>
      <c r="G5" s="127"/>
      <c r="H5" s="127"/>
      <c r="I5" s="127"/>
      <c r="J5" s="5"/>
      <c r="K5" s="5"/>
      <c r="L5" s="5"/>
      <c r="M5" s="5" t="s">
        <v>173</v>
      </c>
      <c r="N5" s="5"/>
      <c r="O5" s="5"/>
      <c r="P5" s="5"/>
      <c r="Q5" s="5"/>
      <c r="R5" s="5"/>
      <c r="U5" s="13" t="s">
        <v>204</v>
      </c>
      <c r="V5" s="13"/>
      <c r="W5" s="13"/>
      <c r="X5" s="13"/>
      <c r="Y5" s="13"/>
      <c r="Z5" s="13"/>
      <c r="AA5" s="13"/>
      <c r="AB5" s="13"/>
      <c r="AC5" s="13"/>
      <c r="AD5" s="13"/>
    </row>
    <row r="6" spans="1:30" x14ac:dyDescent="0.25">
      <c r="A6" s="127" t="s">
        <v>147</v>
      </c>
      <c r="B6" s="127"/>
      <c r="C6" s="126" t="s">
        <v>162</v>
      </c>
      <c r="D6" s="127"/>
      <c r="E6" s="127"/>
      <c r="F6" s="127"/>
      <c r="G6" s="127"/>
      <c r="H6" s="127"/>
      <c r="I6" s="127"/>
      <c r="J6" s="5"/>
      <c r="K6" s="5"/>
      <c r="L6" s="5"/>
      <c r="M6" s="5" t="s">
        <v>170</v>
      </c>
      <c r="N6" s="5" t="s">
        <v>172</v>
      </c>
      <c r="O6" s="5" t="s">
        <v>171</v>
      </c>
      <c r="P6" s="5"/>
      <c r="Q6" s="5"/>
      <c r="R6" s="5"/>
      <c r="U6" s="13" t="s">
        <v>205</v>
      </c>
      <c r="V6" s="13"/>
      <c r="W6" s="13"/>
      <c r="X6" s="13"/>
      <c r="Y6" s="13"/>
      <c r="Z6" s="13"/>
      <c r="AA6" s="13"/>
      <c r="AB6" s="13"/>
      <c r="AC6" s="13"/>
      <c r="AD6" s="13"/>
    </row>
    <row r="7" spans="1:30" x14ac:dyDescent="0.25">
      <c r="A7" s="127" t="s">
        <v>148</v>
      </c>
      <c r="B7" s="127"/>
      <c r="C7" s="127" t="s">
        <v>177</v>
      </c>
      <c r="D7" s="127"/>
      <c r="E7" s="127"/>
      <c r="F7" s="127"/>
      <c r="G7" s="127"/>
      <c r="H7" s="127"/>
      <c r="I7" s="127"/>
      <c r="J7" s="5"/>
      <c r="K7" s="5"/>
      <c r="L7" s="5"/>
      <c r="M7" s="140" t="s">
        <v>169</v>
      </c>
      <c r="N7" s="5">
        <v>84.38</v>
      </c>
      <c r="O7" s="5">
        <v>8.4</v>
      </c>
      <c r="P7" s="5"/>
      <c r="Q7" s="5"/>
      <c r="R7" s="5"/>
      <c r="U7" s="13" t="s">
        <v>206</v>
      </c>
      <c r="V7" s="13"/>
      <c r="W7" s="13"/>
      <c r="X7" s="13"/>
      <c r="Y7" s="13"/>
      <c r="Z7" s="13"/>
      <c r="AA7" s="13"/>
      <c r="AB7" s="13"/>
      <c r="AC7" s="13"/>
      <c r="AD7" s="13"/>
    </row>
    <row r="8" spans="1:30" x14ac:dyDescent="0.25">
      <c r="A8" s="127" t="s">
        <v>149</v>
      </c>
      <c r="B8" s="127"/>
      <c r="C8" s="127" t="s">
        <v>175</v>
      </c>
      <c r="D8" s="127"/>
      <c r="E8" s="127"/>
      <c r="F8" s="127"/>
      <c r="G8" s="127"/>
      <c r="H8" s="127"/>
      <c r="I8" s="127"/>
      <c r="J8" s="5"/>
      <c r="K8" s="5"/>
      <c r="L8" s="5"/>
      <c r="M8" s="140" t="s">
        <v>164</v>
      </c>
      <c r="N8" s="5">
        <v>1523</v>
      </c>
      <c r="O8" s="141">
        <v>0.01</v>
      </c>
      <c r="P8" s="5"/>
      <c r="Q8" s="5"/>
      <c r="R8" s="5"/>
      <c r="U8" s="13" t="s">
        <v>207</v>
      </c>
      <c r="V8" s="13"/>
      <c r="W8" s="13"/>
      <c r="X8" s="13"/>
      <c r="Y8" s="13"/>
      <c r="Z8" s="13"/>
      <c r="AA8" s="13"/>
      <c r="AB8" s="13"/>
      <c r="AC8" s="13"/>
      <c r="AD8" s="13"/>
    </row>
    <row r="9" spans="1:30" x14ac:dyDescent="0.25">
      <c r="A9" s="127" t="s">
        <v>150</v>
      </c>
      <c r="B9" s="127"/>
      <c r="C9" s="127"/>
      <c r="D9" s="127" t="s">
        <v>176</v>
      </c>
      <c r="E9" s="127"/>
      <c r="F9" s="127"/>
      <c r="G9" s="127"/>
      <c r="H9" s="127"/>
      <c r="I9" s="127"/>
      <c r="J9" s="5"/>
      <c r="K9" s="5"/>
      <c r="L9" s="5"/>
      <c r="M9" s="140" t="s">
        <v>165</v>
      </c>
      <c r="N9" s="5">
        <v>11.7</v>
      </c>
      <c r="O9" s="5">
        <v>1</v>
      </c>
      <c r="P9" s="5"/>
      <c r="Q9" s="5"/>
      <c r="R9" s="5"/>
      <c r="U9" s="13"/>
      <c r="V9" s="13"/>
      <c r="W9" s="13"/>
      <c r="X9" s="13"/>
      <c r="Y9" s="13"/>
      <c r="Z9" s="13"/>
      <c r="AA9" s="13"/>
      <c r="AB9" s="13"/>
      <c r="AC9" s="13"/>
      <c r="AD9" s="13"/>
    </row>
    <row r="10" spans="1:30" x14ac:dyDescent="0.25">
      <c r="A10" s="127" t="s">
        <v>151</v>
      </c>
      <c r="B10" s="127"/>
      <c r="C10" s="127"/>
      <c r="D10" s="127"/>
      <c r="E10" s="127"/>
      <c r="F10" s="127"/>
      <c r="G10" s="127"/>
      <c r="H10" s="127"/>
      <c r="I10" s="127"/>
      <c r="J10" s="5"/>
      <c r="K10" s="5"/>
      <c r="L10" s="5"/>
      <c r="M10" s="141"/>
      <c r="N10" s="5"/>
      <c r="O10" s="5"/>
      <c r="P10" s="5"/>
      <c r="Q10" s="5"/>
      <c r="R10" s="5"/>
      <c r="U10" s="13" t="s">
        <v>208</v>
      </c>
      <c r="V10" s="13"/>
      <c r="W10" s="13"/>
      <c r="X10" s="13"/>
      <c r="Y10" s="13"/>
      <c r="Z10" s="13"/>
      <c r="AA10" s="13"/>
      <c r="AB10" s="13"/>
      <c r="AC10" s="13"/>
      <c r="AD10" s="13"/>
    </row>
    <row r="11" spans="1:30" x14ac:dyDescent="0.25">
      <c r="A11" s="128" t="s">
        <v>571</v>
      </c>
      <c r="B11" s="127"/>
      <c r="C11" s="127"/>
      <c r="D11" s="127"/>
      <c r="E11" s="127"/>
      <c r="F11" s="127"/>
      <c r="G11" s="127"/>
      <c r="H11" s="127"/>
      <c r="I11" s="127"/>
      <c r="J11" s="5"/>
      <c r="K11" s="5"/>
      <c r="L11" s="5"/>
      <c r="M11" s="5" t="s">
        <v>174</v>
      </c>
      <c r="N11" s="5"/>
      <c r="O11" s="5"/>
      <c r="P11" s="5"/>
      <c r="Q11" s="5"/>
      <c r="R11" s="5"/>
      <c r="U11" s="13"/>
      <c r="V11" s="13"/>
      <c r="W11" s="13"/>
      <c r="X11" s="13"/>
      <c r="Y11" s="13"/>
      <c r="Z11" s="13"/>
      <c r="AA11" s="13"/>
      <c r="AB11" s="13"/>
      <c r="AC11" s="13"/>
      <c r="AD11" s="13"/>
    </row>
    <row r="12" spans="1:30" s="9" customFormat="1" ht="45" x14ac:dyDescent="0.25">
      <c r="A12" s="126" t="s">
        <v>154</v>
      </c>
      <c r="B12" s="129"/>
      <c r="C12" s="129"/>
      <c r="D12" s="129"/>
      <c r="E12" s="129"/>
      <c r="F12" s="129"/>
      <c r="G12" s="129"/>
      <c r="H12" s="129"/>
      <c r="I12" s="129"/>
      <c r="J12" s="142"/>
      <c r="K12" s="142"/>
      <c r="L12" s="142"/>
      <c r="M12" s="142" t="s">
        <v>170</v>
      </c>
      <c r="N12" s="142" t="s">
        <v>172</v>
      </c>
      <c r="O12" s="142" t="s">
        <v>171</v>
      </c>
      <c r="P12" s="142"/>
      <c r="Q12" s="142"/>
      <c r="R12" s="142"/>
      <c r="U12" s="32" t="s">
        <v>216</v>
      </c>
      <c r="V12" s="32" t="s">
        <v>217</v>
      </c>
      <c r="W12" s="32" t="s">
        <v>209</v>
      </c>
      <c r="X12" s="32" t="s">
        <v>210</v>
      </c>
      <c r="Y12" s="32" t="s">
        <v>211</v>
      </c>
      <c r="Z12" s="32" t="s">
        <v>212</v>
      </c>
      <c r="AA12" s="32" t="s">
        <v>213</v>
      </c>
      <c r="AB12" s="32" t="s">
        <v>215</v>
      </c>
      <c r="AC12" s="32" t="s">
        <v>214</v>
      </c>
      <c r="AD12" s="143" t="s">
        <v>218</v>
      </c>
    </row>
    <row r="13" spans="1:30" x14ac:dyDescent="0.25">
      <c r="A13" s="129" t="s">
        <v>158</v>
      </c>
      <c r="B13" s="127"/>
      <c r="C13" s="127"/>
      <c r="D13" s="127"/>
      <c r="E13" s="127"/>
      <c r="F13" s="127"/>
      <c r="G13" s="127"/>
      <c r="H13" s="127"/>
      <c r="I13" s="127"/>
      <c r="J13" s="5"/>
      <c r="K13" s="5"/>
      <c r="L13" s="5"/>
      <c r="M13" s="140" t="s">
        <v>169</v>
      </c>
      <c r="N13" s="5">
        <v>84.38</v>
      </c>
      <c r="O13" s="5">
        <v>8.4</v>
      </c>
      <c r="P13" s="5"/>
      <c r="Q13" s="5"/>
      <c r="R13" s="5"/>
      <c r="U13" s="13">
        <f>C22</f>
        <v>650</v>
      </c>
      <c r="V13" s="13">
        <f>D22</f>
        <v>610</v>
      </c>
      <c r="W13" s="13">
        <f>B22</f>
        <v>261.2</v>
      </c>
      <c r="X13" s="13">
        <f>B23</f>
        <v>261.2</v>
      </c>
      <c r="Y13" s="13">
        <f>C23</f>
        <v>510.6</v>
      </c>
      <c r="Z13" s="13">
        <f>D23</f>
        <v>407.1</v>
      </c>
      <c r="AA13" s="13">
        <f>E23</f>
        <v>59.74</v>
      </c>
      <c r="AB13" s="13">
        <f>V13-Z13</f>
        <v>202.89999999999998</v>
      </c>
      <c r="AC13" s="13">
        <f>AB13-AA13</f>
        <v>143.15999999999997</v>
      </c>
      <c r="AD13" s="14">
        <f>AC13/AA13</f>
        <v>2.3963843321057912</v>
      </c>
    </row>
    <row r="14" spans="1:30" x14ac:dyDescent="0.25">
      <c r="A14" s="127" t="s">
        <v>159</v>
      </c>
      <c r="B14" s="127"/>
      <c r="C14" s="127"/>
      <c r="D14" s="127"/>
      <c r="E14" s="127"/>
      <c r="F14" s="127"/>
      <c r="G14" s="127"/>
      <c r="H14" s="127"/>
      <c r="I14" s="127"/>
      <c r="J14" s="5"/>
      <c r="K14" s="5"/>
      <c r="L14" s="5"/>
      <c r="M14" s="140" t="s">
        <v>164</v>
      </c>
      <c r="N14" s="5">
        <v>1514</v>
      </c>
      <c r="O14" s="141">
        <v>0.01</v>
      </c>
      <c r="P14" s="5"/>
      <c r="Q14" s="5"/>
      <c r="R14" s="5"/>
      <c r="U14" s="13"/>
      <c r="V14" s="13"/>
      <c r="W14" s="13"/>
      <c r="X14" s="13"/>
      <c r="Y14" s="13"/>
      <c r="Z14" s="13"/>
      <c r="AA14" s="13"/>
      <c r="AB14" s="13"/>
      <c r="AC14" s="13"/>
      <c r="AD14" s="14"/>
    </row>
    <row r="15" spans="1:30" s="9" customFormat="1" x14ac:dyDescent="0.25">
      <c r="A15" s="129"/>
      <c r="B15" s="129"/>
      <c r="C15" s="129"/>
      <c r="D15" s="129"/>
      <c r="E15" s="129"/>
      <c r="F15" s="129"/>
      <c r="G15" s="129"/>
      <c r="H15" s="129"/>
      <c r="I15" s="129"/>
      <c r="J15" s="5"/>
      <c r="K15" s="5"/>
      <c r="L15" s="5"/>
      <c r="M15" s="140" t="s">
        <v>165</v>
      </c>
      <c r="N15" s="5">
        <v>7.9279999999999999</v>
      </c>
      <c r="O15" s="5">
        <v>0.8</v>
      </c>
      <c r="P15" s="5"/>
      <c r="Q15" s="5"/>
      <c r="R15" s="5"/>
      <c r="U15" s="32"/>
      <c r="V15" s="32"/>
      <c r="W15" s="13"/>
      <c r="X15" s="32"/>
      <c r="Y15" s="32"/>
      <c r="Z15" s="32"/>
      <c r="AA15" s="32"/>
      <c r="AB15" s="13"/>
      <c r="AC15" s="13"/>
      <c r="AD15" s="14"/>
    </row>
    <row r="16" spans="1:30" ht="60" x14ac:dyDescent="0.25">
      <c r="A16" s="130" t="s">
        <v>155</v>
      </c>
      <c r="B16" s="130" t="s">
        <v>156</v>
      </c>
      <c r="C16" s="130" t="s">
        <v>33</v>
      </c>
      <c r="D16" s="130" t="s">
        <v>34</v>
      </c>
      <c r="E16" s="130" t="s">
        <v>39</v>
      </c>
      <c r="F16" s="130" t="s">
        <v>127</v>
      </c>
      <c r="G16" s="130"/>
      <c r="H16" s="127"/>
      <c r="I16" s="127"/>
      <c r="J16" s="5"/>
      <c r="K16" s="5"/>
      <c r="L16" s="5"/>
      <c r="M16" s="142"/>
      <c r="N16" s="142"/>
      <c r="O16" s="142"/>
      <c r="P16" s="5"/>
      <c r="Q16" s="5"/>
      <c r="R16" s="142"/>
      <c r="U16" s="13"/>
      <c r="V16" s="13"/>
      <c r="W16" s="13"/>
      <c r="X16" s="13"/>
      <c r="Y16" s="13"/>
      <c r="Z16" s="13"/>
      <c r="AA16" s="13"/>
      <c r="AB16" s="13"/>
      <c r="AC16" s="11" t="s">
        <v>484</v>
      </c>
      <c r="AD16" s="22">
        <f>AVERAGE(AD13:AD15)</f>
        <v>2.3963843321057912</v>
      </c>
    </row>
    <row r="17" spans="1:12" x14ac:dyDescent="0.25">
      <c r="A17" s="179" t="s">
        <v>178</v>
      </c>
      <c r="B17" s="179"/>
      <c r="C17" s="179"/>
      <c r="D17" s="179"/>
      <c r="E17" s="179"/>
      <c r="F17" s="127"/>
      <c r="G17" s="127"/>
      <c r="H17" s="127"/>
      <c r="I17" s="127"/>
      <c r="J17" s="127"/>
      <c r="K17" s="127"/>
      <c r="L17" s="59"/>
    </row>
    <row r="18" spans="1:12" x14ac:dyDescent="0.25">
      <c r="A18" s="127" t="s">
        <v>157</v>
      </c>
      <c r="B18" s="127"/>
      <c r="C18" s="127"/>
      <c r="D18" s="127"/>
      <c r="E18" s="127"/>
      <c r="F18" s="127"/>
      <c r="G18" s="127"/>
      <c r="H18" s="127" t="s">
        <v>488</v>
      </c>
      <c r="I18" s="127"/>
      <c r="J18" s="127"/>
      <c r="K18" s="127"/>
      <c r="L18" s="59"/>
    </row>
    <row r="19" spans="1:12" x14ac:dyDescent="0.25">
      <c r="A19" s="127" t="s">
        <v>179</v>
      </c>
      <c r="B19" s="127"/>
      <c r="C19" s="127"/>
      <c r="D19" s="127"/>
      <c r="E19" s="127"/>
      <c r="F19" s="127"/>
      <c r="G19" s="127"/>
      <c r="H19" s="22"/>
      <c r="I19" s="127"/>
      <c r="J19" s="127"/>
      <c r="K19" s="127"/>
    </row>
    <row r="20" spans="1:12" x14ac:dyDescent="0.25">
      <c r="A20" s="127" t="s">
        <v>487</v>
      </c>
      <c r="B20" s="127"/>
      <c r="C20" s="127"/>
      <c r="D20" s="127"/>
      <c r="E20" s="127"/>
      <c r="F20" s="127"/>
      <c r="G20" s="127"/>
      <c r="H20" s="127"/>
      <c r="I20" s="127"/>
      <c r="J20" s="127"/>
      <c r="K20" s="127"/>
    </row>
    <row r="21" spans="1:12" x14ac:dyDescent="0.25">
      <c r="A21" s="179" t="s">
        <v>181</v>
      </c>
      <c r="B21" s="179"/>
      <c r="C21" s="179"/>
      <c r="D21" s="179"/>
      <c r="E21" s="179"/>
      <c r="F21" s="127"/>
      <c r="G21" s="127"/>
      <c r="H21" s="127"/>
      <c r="I21" s="127"/>
      <c r="J21" s="127"/>
      <c r="K21" s="127"/>
    </row>
    <row r="22" spans="1:12" x14ac:dyDescent="0.25">
      <c r="A22" s="127" t="s">
        <v>157</v>
      </c>
      <c r="B22" s="127">
        <v>261.2</v>
      </c>
      <c r="C22" s="127">
        <v>650</v>
      </c>
      <c r="D22" s="127">
        <v>610</v>
      </c>
      <c r="E22" s="127">
        <v>0</v>
      </c>
      <c r="F22" s="127">
        <v>0</v>
      </c>
      <c r="G22" s="127"/>
      <c r="H22" s="127" t="s">
        <v>488</v>
      </c>
      <c r="I22" s="127"/>
      <c r="J22" s="127"/>
      <c r="K22" s="127"/>
    </row>
    <row r="23" spans="1:12" x14ac:dyDescent="0.25">
      <c r="A23" s="127" t="s">
        <v>179</v>
      </c>
      <c r="B23" s="127">
        <v>261.2</v>
      </c>
      <c r="C23" s="127">
        <v>510.6</v>
      </c>
      <c r="D23" s="127">
        <v>407.1</v>
      </c>
      <c r="E23" s="127">
        <v>59.74</v>
      </c>
      <c r="F23" s="127">
        <v>9541</v>
      </c>
      <c r="G23" s="127"/>
      <c r="H23" s="22">
        <f>(D22-D23)/D22</f>
        <v>0.33262295081967208</v>
      </c>
      <c r="I23" s="127"/>
      <c r="J23" s="127"/>
      <c r="K23" s="127"/>
    </row>
    <row r="24" spans="1:12" x14ac:dyDescent="0.25">
      <c r="A24" s="127" t="s">
        <v>487</v>
      </c>
      <c r="B24" s="127">
        <v>261.2</v>
      </c>
      <c r="C24" s="127">
        <v>650</v>
      </c>
      <c r="D24" s="127">
        <v>594.29999999999995</v>
      </c>
      <c r="E24" s="127">
        <v>6.5</v>
      </c>
      <c r="F24" s="127">
        <v>9541</v>
      </c>
      <c r="G24" s="127"/>
      <c r="H24" s="127"/>
      <c r="I24" s="127"/>
      <c r="J24" s="127"/>
      <c r="K24" s="127"/>
    </row>
    <row r="25" spans="1:12" x14ac:dyDescent="0.25">
      <c r="A25" s="127"/>
      <c r="B25" s="127"/>
      <c r="C25" s="127"/>
      <c r="D25" s="127"/>
      <c r="E25" s="127"/>
      <c r="F25" s="127"/>
      <c r="G25" s="127"/>
      <c r="H25" s="127"/>
      <c r="I25" s="127"/>
      <c r="J25" s="127"/>
      <c r="K25" s="127"/>
    </row>
    <row r="26" spans="1:12" x14ac:dyDescent="0.25">
      <c r="A26" s="126" t="s">
        <v>182</v>
      </c>
      <c r="B26" s="127"/>
      <c r="C26" s="127"/>
      <c r="D26" s="127"/>
      <c r="E26" s="127"/>
      <c r="F26" s="127"/>
      <c r="G26" s="127"/>
      <c r="H26" s="127"/>
      <c r="I26" s="127"/>
      <c r="J26" s="127"/>
      <c r="K26" s="127"/>
    </row>
    <row r="27" spans="1:12" x14ac:dyDescent="0.25">
      <c r="A27" s="127" t="s">
        <v>183</v>
      </c>
      <c r="B27" s="127" t="s">
        <v>184</v>
      </c>
      <c r="C27" s="127" t="s">
        <v>185</v>
      </c>
      <c r="D27" s="127"/>
      <c r="E27" s="127"/>
      <c r="F27" s="127"/>
      <c r="G27" s="127"/>
      <c r="H27" s="127"/>
      <c r="I27" s="127"/>
      <c r="J27" s="127"/>
      <c r="K27" s="127"/>
    </row>
    <row r="28" spans="1:12" x14ac:dyDescent="0.25">
      <c r="A28" s="131" t="s">
        <v>178</v>
      </c>
      <c r="B28" s="127"/>
      <c r="C28" s="127"/>
      <c r="D28" s="127"/>
      <c r="E28" s="127"/>
      <c r="F28" s="127"/>
      <c r="G28" s="127"/>
      <c r="H28" s="127"/>
      <c r="I28" s="127"/>
      <c r="J28" s="127"/>
      <c r="K28" s="127"/>
    </row>
    <row r="29" spans="1:12" x14ac:dyDescent="0.25">
      <c r="A29" s="132" t="s">
        <v>480</v>
      </c>
      <c r="B29" s="127"/>
      <c r="C29" s="127"/>
      <c r="D29" s="127"/>
      <c r="E29" s="127"/>
      <c r="F29" s="127"/>
      <c r="G29" s="127"/>
      <c r="H29" s="127"/>
      <c r="I29" s="127"/>
      <c r="J29" s="127"/>
      <c r="K29" s="127"/>
    </row>
    <row r="30" spans="1:12" x14ac:dyDescent="0.25">
      <c r="A30" s="127">
        <f>D18-D19</f>
        <v>0</v>
      </c>
      <c r="B30" s="127" t="s">
        <v>41</v>
      </c>
      <c r="C30" s="127" t="s">
        <v>197</v>
      </c>
      <c r="D30" s="127"/>
      <c r="E30" s="127"/>
      <c r="F30" s="127"/>
      <c r="G30" s="127"/>
      <c r="H30" s="127"/>
      <c r="I30" s="127"/>
      <c r="J30" s="127"/>
      <c r="K30" s="127"/>
    </row>
    <row r="31" spans="1:12" x14ac:dyDescent="0.25">
      <c r="A31" s="127" t="e">
        <f>F19/A30</f>
        <v>#DIV/0!</v>
      </c>
      <c r="B31" s="127" t="s">
        <v>135</v>
      </c>
      <c r="C31" s="127" t="s">
        <v>186</v>
      </c>
      <c r="D31" s="127"/>
      <c r="E31" s="127"/>
      <c r="F31" s="127"/>
      <c r="G31" s="127"/>
      <c r="H31" s="127"/>
      <c r="I31" s="127"/>
      <c r="J31" s="127"/>
      <c r="K31" s="127"/>
    </row>
    <row r="32" spans="1:12" x14ac:dyDescent="0.25">
      <c r="A32" s="127"/>
      <c r="B32" s="127"/>
      <c r="C32" s="127"/>
      <c r="D32" s="127" t="s">
        <v>187</v>
      </c>
      <c r="E32" s="127"/>
      <c r="F32" s="127"/>
      <c r="G32" s="127"/>
      <c r="H32" s="127"/>
      <c r="I32" s="127"/>
      <c r="J32" s="127"/>
      <c r="K32" s="127"/>
    </row>
    <row r="33" spans="1:15" x14ac:dyDescent="0.25">
      <c r="A33" s="127" t="e">
        <f>D19/F19</f>
        <v>#DIV/0!</v>
      </c>
      <c r="B33" s="127" t="s">
        <v>142</v>
      </c>
      <c r="C33" s="127" t="s">
        <v>193</v>
      </c>
      <c r="D33" s="127"/>
      <c r="E33" s="127"/>
      <c r="F33" s="127"/>
      <c r="G33" s="127"/>
      <c r="H33" s="127"/>
      <c r="I33" s="127"/>
      <c r="J33" s="127"/>
      <c r="K33" s="127"/>
    </row>
    <row r="34" spans="1:15" x14ac:dyDescent="0.25">
      <c r="A34" s="22" t="e">
        <f>D19/A30</f>
        <v>#DIV/0!</v>
      </c>
      <c r="B34" s="127" t="s">
        <v>139</v>
      </c>
      <c r="C34" s="127" t="s">
        <v>403</v>
      </c>
      <c r="D34" s="127"/>
      <c r="E34" s="127"/>
      <c r="F34" s="127"/>
      <c r="G34" s="127"/>
      <c r="H34" s="127"/>
      <c r="I34" s="127"/>
      <c r="J34" s="127"/>
      <c r="K34" s="127"/>
    </row>
    <row r="35" spans="1:15" ht="15" customHeight="1" x14ac:dyDescent="0.25">
      <c r="A35" s="127"/>
      <c r="B35" s="127"/>
      <c r="C35" s="127"/>
      <c r="D35" s="127" t="s">
        <v>189</v>
      </c>
      <c r="E35" s="127"/>
      <c r="F35" s="127"/>
      <c r="G35" s="127"/>
      <c r="H35" s="127"/>
      <c r="I35" s="127"/>
      <c r="J35" s="127"/>
      <c r="K35" s="127"/>
      <c r="L35" s="10"/>
    </row>
    <row r="36" spans="1:15" ht="15" customHeight="1" x14ac:dyDescent="0.25">
      <c r="A36" s="127">
        <f>A30-E19</f>
        <v>0</v>
      </c>
      <c r="B36" s="127" t="s">
        <v>199</v>
      </c>
      <c r="C36" s="127" t="s">
        <v>200</v>
      </c>
      <c r="D36" s="127"/>
      <c r="E36" s="127"/>
      <c r="F36" s="127"/>
      <c r="G36" s="127"/>
      <c r="H36" s="127"/>
      <c r="I36" s="127"/>
      <c r="J36" s="127"/>
      <c r="K36" s="127"/>
      <c r="L36" s="101"/>
      <c r="M36" s="102"/>
      <c r="N36" s="102"/>
      <c r="O36" s="10"/>
    </row>
    <row r="37" spans="1:15" ht="15" customHeight="1" x14ac:dyDescent="0.25">
      <c r="A37" s="127"/>
      <c r="B37" s="127"/>
      <c r="C37" s="127"/>
      <c r="D37" s="127" t="s">
        <v>198</v>
      </c>
      <c r="E37" s="127"/>
      <c r="F37" s="127"/>
      <c r="G37" s="127"/>
      <c r="H37" s="127"/>
      <c r="I37" s="127"/>
      <c r="J37" s="127"/>
      <c r="K37" s="127"/>
      <c r="L37" s="101"/>
      <c r="M37" s="102"/>
      <c r="N37" s="102"/>
      <c r="O37" s="10"/>
    </row>
    <row r="38" spans="1:15" ht="15" customHeight="1" x14ac:dyDescent="0.25">
      <c r="A38" s="127" t="e">
        <f>F19/A36</f>
        <v>#DIV/0!</v>
      </c>
      <c r="B38" s="127" t="s">
        <v>135</v>
      </c>
      <c r="C38" s="127" t="s">
        <v>201</v>
      </c>
      <c r="D38" s="127"/>
      <c r="E38" s="127"/>
      <c r="F38" s="127"/>
      <c r="G38" s="127"/>
      <c r="H38" s="127"/>
      <c r="I38" s="127"/>
      <c r="J38" s="127"/>
      <c r="K38" s="127"/>
      <c r="L38" s="101"/>
      <c r="M38" s="102"/>
      <c r="N38" s="102"/>
      <c r="O38" s="10"/>
    </row>
    <row r="39" spans="1:15" ht="15" customHeight="1" x14ac:dyDescent="0.25">
      <c r="A39" s="127"/>
      <c r="B39" s="127"/>
      <c r="C39" s="127"/>
      <c r="D39" s="127"/>
      <c r="E39" s="127"/>
      <c r="F39" s="127"/>
      <c r="G39" s="127"/>
      <c r="H39" s="127"/>
      <c r="I39" s="127"/>
      <c r="J39" s="127"/>
      <c r="K39" s="127"/>
      <c r="L39" s="101"/>
      <c r="M39" s="102"/>
      <c r="N39" s="102"/>
      <c r="O39" s="10"/>
    </row>
    <row r="40" spans="1:15" ht="15" customHeight="1" x14ac:dyDescent="0.25">
      <c r="A40" s="132" t="s">
        <v>479</v>
      </c>
      <c r="B40" s="127"/>
      <c r="C40" s="127"/>
      <c r="D40" s="127"/>
      <c r="E40" s="127"/>
      <c r="F40" s="127"/>
      <c r="G40" s="127"/>
      <c r="H40" s="127"/>
      <c r="I40" s="127"/>
      <c r="J40" s="127"/>
      <c r="K40" s="127"/>
      <c r="L40" s="101"/>
      <c r="M40" s="102"/>
      <c r="N40" s="102"/>
      <c r="O40" s="10"/>
    </row>
    <row r="41" spans="1:15" ht="15" customHeight="1" x14ac:dyDescent="0.25">
      <c r="A41" s="127" t="e">
        <f>D20/F20</f>
        <v>#DIV/0!</v>
      </c>
      <c r="B41" s="127" t="s">
        <v>142</v>
      </c>
      <c r="C41" s="127" t="s">
        <v>456</v>
      </c>
      <c r="D41" s="127"/>
      <c r="E41" s="127"/>
      <c r="F41" s="127"/>
      <c r="G41" s="127"/>
      <c r="H41" s="127"/>
      <c r="I41" s="127"/>
      <c r="J41" s="127"/>
      <c r="K41" s="127"/>
      <c r="L41" s="101"/>
      <c r="M41" s="102"/>
      <c r="N41" s="102"/>
      <c r="O41" s="10"/>
    </row>
    <row r="42" spans="1:15" x14ac:dyDescent="0.25">
      <c r="A42" s="127"/>
      <c r="B42" s="127"/>
      <c r="C42" s="127"/>
      <c r="D42" s="127" t="s">
        <v>196</v>
      </c>
      <c r="E42" s="127"/>
      <c r="F42" s="127"/>
      <c r="G42" s="127"/>
      <c r="H42" s="127"/>
      <c r="I42" s="127"/>
      <c r="J42" s="127"/>
      <c r="K42" s="127"/>
      <c r="L42" s="103"/>
      <c r="M42" s="10"/>
      <c r="N42" s="10"/>
      <c r="O42" s="10"/>
    </row>
    <row r="43" spans="1:15" x14ac:dyDescent="0.25">
      <c r="A43" s="22" t="e">
        <f>A41*A31</f>
        <v>#DIV/0!</v>
      </c>
      <c r="B43" s="127" t="s">
        <v>139</v>
      </c>
      <c r="C43" s="127" t="s">
        <v>455</v>
      </c>
      <c r="D43" s="127"/>
      <c r="E43" s="127"/>
      <c r="F43" s="127"/>
      <c r="G43" s="127"/>
      <c r="H43" s="127"/>
      <c r="I43" s="127"/>
      <c r="J43" s="127"/>
      <c r="K43" s="127"/>
      <c r="L43" s="103"/>
      <c r="M43" s="10"/>
      <c r="N43" s="10"/>
      <c r="O43" s="10"/>
    </row>
    <row r="44" spans="1:15" x14ac:dyDescent="0.25">
      <c r="A44" s="127"/>
      <c r="B44" s="127"/>
      <c r="C44" s="127"/>
      <c r="D44" s="127" t="s">
        <v>404</v>
      </c>
      <c r="E44" s="127"/>
      <c r="F44" s="127"/>
      <c r="G44" s="127"/>
      <c r="H44" s="127"/>
      <c r="I44" s="127"/>
      <c r="J44" s="127"/>
      <c r="K44" s="127"/>
      <c r="L44" s="102"/>
      <c r="M44" s="10"/>
      <c r="N44" s="10"/>
      <c r="O44" s="10"/>
    </row>
    <row r="45" spans="1:15" x14ac:dyDescent="0.25">
      <c r="A45" s="127" t="e">
        <f>B20/D20</f>
        <v>#DIV/0!</v>
      </c>
      <c r="B45" s="127" t="s">
        <v>135</v>
      </c>
      <c r="C45" s="127" t="s">
        <v>500</v>
      </c>
      <c r="D45" s="127"/>
      <c r="E45" s="127"/>
      <c r="F45" s="127"/>
      <c r="G45" s="127"/>
      <c r="H45" s="127"/>
      <c r="I45" s="127"/>
      <c r="J45" s="127"/>
      <c r="K45" s="127"/>
      <c r="L45" s="102"/>
      <c r="M45" s="10"/>
      <c r="N45" s="10"/>
      <c r="O45" s="10"/>
    </row>
    <row r="46" spans="1:15" x14ac:dyDescent="0.25">
      <c r="A46" s="127"/>
      <c r="B46" s="127"/>
      <c r="C46" s="127"/>
      <c r="D46" s="127"/>
      <c r="E46" s="127"/>
      <c r="F46" s="127"/>
      <c r="G46" s="127"/>
      <c r="H46" s="127"/>
      <c r="I46" s="127"/>
      <c r="J46" s="127"/>
      <c r="K46" s="127"/>
      <c r="L46" s="102"/>
      <c r="M46" s="10"/>
      <c r="N46" s="10"/>
      <c r="O46" s="10"/>
    </row>
    <row r="47" spans="1:15" x14ac:dyDescent="0.25">
      <c r="A47" s="132" t="s">
        <v>478</v>
      </c>
      <c r="B47" s="127"/>
      <c r="C47" s="127"/>
      <c r="D47" s="127"/>
      <c r="E47" s="127"/>
      <c r="F47" s="127"/>
      <c r="G47" s="127"/>
      <c r="H47" s="127"/>
      <c r="I47" s="127"/>
      <c r="J47" s="127"/>
      <c r="K47" s="127"/>
      <c r="L47" s="10"/>
      <c r="M47" s="10"/>
      <c r="N47" s="10"/>
      <c r="O47" s="10"/>
    </row>
    <row r="48" spans="1:15" x14ac:dyDescent="0.25">
      <c r="A48" s="127" t="e">
        <f>B19/(A36+E19+D19)</f>
        <v>#DIV/0!</v>
      </c>
      <c r="B48" s="129" t="s">
        <v>458</v>
      </c>
      <c r="C48" s="127" t="s">
        <v>476</v>
      </c>
      <c r="D48" s="127"/>
      <c r="E48" s="127"/>
      <c r="F48" s="127"/>
      <c r="G48" s="127"/>
      <c r="H48" s="127"/>
      <c r="I48" s="127"/>
      <c r="J48" s="127"/>
      <c r="K48" s="127"/>
      <c r="L48" s="10"/>
      <c r="M48" s="10"/>
      <c r="N48" s="10"/>
      <c r="O48" s="10"/>
    </row>
    <row r="49" spans="1:15" x14ac:dyDescent="0.25">
      <c r="A49" s="127"/>
      <c r="B49" s="144"/>
      <c r="C49" s="144" t="s">
        <v>477</v>
      </c>
      <c r="D49" s="127"/>
      <c r="E49" s="127"/>
      <c r="F49" s="127"/>
      <c r="G49" s="127"/>
      <c r="H49" s="127"/>
      <c r="I49" s="127"/>
      <c r="J49" s="127"/>
      <c r="K49" s="127"/>
      <c r="L49" s="10"/>
      <c r="M49" s="10"/>
      <c r="N49" s="10"/>
      <c r="O49" s="10"/>
    </row>
    <row r="50" spans="1:15" x14ac:dyDescent="0.25">
      <c r="A50" s="137" t="s">
        <v>462</v>
      </c>
      <c r="B50" s="144"/>
      <c r="C50" s="144"/>
      <c r="D50" s="127"/>
      <c r="E50" s="127"/>
      <c r="F50" s="127"/>
      <c r="G50" s="127"/>
      <c r="H50" s="127"/>
      <c r="I50" s="127"/>
      <c r="J50" s="127"/>
      <c r="K50" s="127"/>
      <c r="L50" s="10"/>
      <c r="M50" s="10"/>
      <c r="N50" s="10"/>
      <c r="O50" s="10"/>
    </row>
    <row r="51" spans="1:15" x14ac:dyDescent="0.25">
      <c r="A51" s="127" t="e">
        <f>A48/A31</f>
        <v>#DIV/0!</v>
      </c>
      <c r="B51" s="144" t="s">
        <v>463</v>
      </c>
      <c r="C51" s="127"/>
      <c r="D51" s="127"/>
      <c r="E51" s="127"/>
      <c r="F51" s="127"/>
      <c r="G51" s="127"/>
      <c r="H51" s="127"/>
      <c r="I51" s="127"/>
      <c r="J51" s="127"/>
      <c r="K51" s="127"/>
    </row>
    <row r="52" spans="1:15" x14ac:dyDescent="0.25">
      <c r="A52" s="127"/>
      <c r="B52" s="127"/>
      <c r="C52" s="137" t="s">
        <v>459</v>
      </c>
      <c r="D52" s="127"/>
      <c r="E52" s="127"/>
      <c r="F52" s="127"/>
      <c r="G52" s="127"/>
      <c r="H52" s="127"/>
      <c r="I52" s="127"/>
      <c r="J52" s="127"/>
      <c r="K52" s="127"/>
    </row>
    <row r="53" spans="1:15" x14ac:dyDescent="0.25">
      <c r="A53" s="127"/>
      <c r="B53" s="129"/>
      <c r="C53" s="127" t="s">
        <v>465</v>
      </c>
      <c r="D53" s="127">
        <v>1</v>
      </c>
      <c r="E53" s="127" t="s">
        <v>469</v>
      </c>
      <c r="F53" s="127"/>
      <c r="G53" s="127"/>
      <c r="H53" s="127"/>
      <c r="I53" s="127"/>
      <c r="J53" s="127"/>
      <c r="K53" s="127"/>
    </row>
    <row r="54" spans="1:15" x14ac:dyDescent="0.25">
      <c r="A54" s="138"/>
      <c r="B54" s="129"/>
      <c r="C54" s="127"/>
      <c r="D54" s="127" t="e">
        <f>D53*A51</f>
        <v>#DIV/0!</v>
      </c>
      <c r="E54" s="127" t="s">
        <v>460</v>
      </c>
      <c r="F54" s="127"/>
      <c r="G54" s="127"/>
      <c r="H54" s="127"/>
      <c r="I54" s="127"/>
      <c r="J54" s="127"/>
      <c r="K54" s="127"/>
    </row>
    <row r="55" spans="1:15" x14ac:dyDescent="0.25">
      <c r="A55" s="127" t="s">
        <v>470</v>
      </c>
      <c r="B55" s="129"/>
      <c r="C55" s="127"/>
      <c r="D55" s="127"/>
      <c r="E55" s="127"/>
      <c r="F55" s="127"/>
      <c r="G55" s="127"/>
      <c r="H55" s="127"/>
      <c r="I55" s="127"/>
      <c r="J55" s="127"/>
      <c r="K55" s="127"/>
    </row>
    <row r="56" spans="1:15" x14ac:dyDescent="0.25">
      <c r="A56" s="127" t="s">
        <v>461</v>
      </c>
      <c r="B56" s="129"/>
      <c r="C56" s="127"/>
      <c r="D56" s="127"/>
      <c r="E56" s="127"/>
      <c r="F56" s="127"/>
      <c r="G56" s="127"/>
      <c r="H56" s="127"/>
      <c r="I56" s="127"/>
      <c r="J56" s="127"/>
      <c r="K56" s="127"/>
    </row>
    <row r="57" spans="1:15" x14ac:dyDescent="0.25">
      <c r="A57" s="127" t="e">
        <f>F19/B19</f>
        <v>#DIV/0!</v>
      </c>
      <c r="B57" s="144" t="s">
        <v>464</v>
      </c>
      <c r="C57" s="127"/>
      <c r="D57" s="127"/>
      <c r="E57" s="127"/>
      <c r="F57" s="127"/>
      <c r="G57" s="127"/>
      <c r="H57" s="127"/>
      <c r="I57" s="127"/>
      <c r="J57" s="127"/>
      <c r="K57" s="127"/>
    </row>
    <row r="58" spans="1:15" x14ac:dyDescent="0.25">
      <c r="A58" s="127"/>
      <c r="B58" s="129"/>
      <c r="C58" s="127" t="s">
        <v>466</v>
      </c>
      <c r="D58" s="127"/>
      <c r="E58" s="127"/>
      <c r="F58" s="127"/>
      <c r="G58" s="127"/>
      <c r="H58" s="127"/>
      <c r="I58" s="127"/>
      <c r="J58" s="127"/>
      <c r="K58" s="127"/>
    </row>
    <row r="59" spans="1:15" x14ac:dyDescent="0.25">
      <c r="A59" s="127" t="s">
        <v>471</v>
      </c>
      <c r="B59" s="129"/>
      <c r="C59" s="127"/>
      <c r="D59" s="127"/>
      <c r="E59" s="127"/>
      <c r="F59" s="127"/>
      <c r="G59" s="127"/>
      <c r="H59" s="127"/>
      <c r="I59" s="127"/>
      <c r="J59" s="127"/>
      <c r="K59" s="127"/>
    </row>
    <row r="60" spans="1:15" x14ac:dyDescent="0.25">
      <c r="A60" s="128" t="e">
        <f>A57*A51</f>
        <v>#DIV/0!</v>
      </c>
      <c r="B60" s="144" t="s">
        <v>468</v>
      </c>
      <c r="C60" s="127"/>
      <c r="D60" s="127"/>
      <c r="E60" s="127"/>
      <c r="F60" s="127"/>
      <c r="G60" s="127"/>
      <c r="H60" s="127"/>
      <c r="I60" s="127"/>
      <c r="J60" s="127"/>
      <c r="K60" s="127"/>
    </row>
    <row r="61" spans="1:15" x14ac:dyDescent="0.25">
      <c r="A61" s="127" t="s">
        <v>467</v>
      </c>
      <c r="B61" s="129"/>
      <c r="C61" s="127"/>
      <c r="D61" s="127"/>
      <c r="E61" s="127"/>
      <c r="F61" s="127"/>
      <c r="G61" s="127"/>
      <c r="H61" s="127"/>
      <c r="I61" s="127"/>
      <c r="J61" s="127"/>
      <c r="K61" s="127"/>
    </row>
    <row r="62" spans="1:15" x14ac:dyDescent="0.25">
      <c r="A62" s="128" t="e">
        <f>A60*(1/A31)</f>
        <v>#DIV/0!</v>
      </c>
      <c r="B62" s="144" t="s">
        <v>473</v>
      </c>
      <c r="C62" s="127"/>
      <c r="D62" s="127"/>
      <c r="E62" s="127"/>
      <c r="F62" s="127"/>
      <c r="G62" s="127"/>
      <c r="H62" s="127"/>
      <c r="I62" s="127"/>
      <c r="J62" s="127"/>
      <c r="K62" s="127"/>
    </row>
    <row r="63" spans="1:15" x14ac:dyDescent="0.25">
      <c r="A63" s="127" t="s">
        <v>472</v>
      </c>
      <c r="B63" s="129"/>
      <c r="C63" s="127"/>
      <c r="D63" s="127"/>
      <c r="E63" s="127"/>
      <c r="F63" s="127"/>
      <c r="G63" s="127"/>
      <c r="H63" s="127"/>
      <c r="I63" s="127"/>
      <c r="J63" s="127"/>
      <c r="K63" s="127"/>
    </row>
    <row r="64" spans="1:15" x14ac:dyDescent="0.25">
      <c r="A64" s="22" t="e">
        <f>A62*A31</f>
        <v>#DIV/0!</v>
      </c>
      <c r="B64" s="144" t="s">
        <v>474</v>
      </c>
      <c r="C64" s="127"/>
      <c r="D64" s="127"/>
      <c r="E64" s="127"/>
      <c r="F64" s="127"/>
      <c r="G64" s="127"/>
      <c r="H64" s="127"/>
      <c r="I64" s="127"/>
      <c r="J64" s="127"/>
      <c r="K64" s="127"/>
    </row>
    <row r="65" spans="1:11" x14ac:dyDescent="0.25">
      <c r="A65" s="127"/>
      <c r="B65" s="127"/>
      <c r="C65" s="144" t="s">
        <v>475</v>
      </c>
      <c r="D65" s="127"/>
      <c r="E65" s="127"/>
      <c r="F65" s="127"/>
      <c r="G65" s="127"/>
      <c r="H65" s="127"/>
      <c r="I65" s="127"/>
      <c r="J65" s="127"/>
      <c r="K65" s="127"/>
    </row>
    <row r="66" spans="1:11" x14ac:dyDescent="0.25">
      <c r="A66" s="139"/>
      <c r="B66" s="139"/>
      <c r="C66" s="127"/>
      <c r="D66" s="127"/>
      <c r="E66" s="127"/>
      <c r="F66" s="127"/>
      <c r="G66" s="127"/>
      <c r="H66" s="127"/>
      <c r="I66" s="127"/>
      <c r="J66" s="127"/>
      <c r="K66" s="127"/>
    </row>
    <row r="67" spans="1:11" x14ac:dyDescent="0.25">
      <c r="A67" s="127"/>
      <c r="B67" s="127"/>
      <c r="C67" s="127"/>
      <c r="D67" s="127"/>
      <c r="E67" s="127"/>
      <c r="F67" s="127"/>
      <c r="G67" s="127"/>
      <c r="H67" s="127"/>
      <c r="I67" s="127"/>
      <c r="J67" s="127"/>
      <c r="K67" s="127"/>
    </row>
    <row r="68" spans="1:11" x14ac:dyDescent="0.25">
      <c r="A68" s="127" t="s">
        <v>183</v>
      </c>
      <c r="B68" s="127" t="s">
        <v>184</v>
      </c>
      <c r="C68" s="127" t="s">
        <v>185</v>
      </c>
      <c r="D68" s="127"/>
      <c r="E68" s="127"/>
      <c r="F68" s="127"/>
      <c r="G68" s="127"/>
      <c r="H68" s="127"/>
      <c r="I68" s="127"/>
      <c r="J68" s="127"/>
      <c r="K68" s="127"/>
    </row>
    <row r="69" spans="1:11" x14ac:dyDescent="0.25">
      <c r="A69" s="131" t="s">
        <v>181</v>
      </c>
      <c r="B69" s="127"/>
      <c r="C69" s="127"/>
      <c r="D69" s="127"/>
      <c r="E69" s="127"/>
      <c r="F69" s="127"/>
      <c r="G69" s="127"/>
      <c r="H69" s="127"/>
      <c r="I69" s="127"/>
      <c r="J69" s="127"/>
      <c r="K69" s="127"/>
    </row>
    <row r="70" spans="1:11" x14ac:dyDescent="0.25">
      <c r="A70" s="132" t="s">
        <v>480</v>
      </c>
      <c r="B70" s="127"/>
      <c r="C70" s="127"/>
      <c r="D70" s="127"/>
      <c r="E70" s="127"/>
      <c r="F70" s="127"/>
      <c r="G70" s="127"/>
      <c r="H70" s="127"/>
      <c r="I70" s="127"/>
      <c r="J70" s="127"/>
      <c r="K70" s="127"/>
    </row>
    <row r="71" spans="1:11" x14ac:dyDescent="0.25">
      <c r="A71" s="127">
        <f>D22-D23</f>
        <v>202.89999999999998</v>
      </c>
      <c r="B71" s="127" t="s">
        <v>41</v>
      </c>
      <c r="C71" s="127" t="s">
        <v>197</v>
      </c>
      <c r="D71" s="127"/>
      <c r="E71" s="127"/>
      <c r="F71" s="127"/>
      <c r="G71" s="127"/>
      <c r="H71" s="127"/>
      <c r="I71" s="127"/>
      <c r="J71" s="127"/>
      <c r="K71" s="127"/>
    </row>
    <row r="72" spans="1:11" x14ac:dyDescent="0.25">
      <c r="A72" s="127">
        <f>F23/A71</f>
        <v>47.02316412025629</v>
      </c>
      <c r="B72" s="127" t="s">
        <v>135</v>
      </c>
      <c r="C72" s="127" t="s">
        <v>186</v>
      </c>
      <c r="D72" s="127"/>
      <c r="E72" s="127"/>
      <c r="F72" s="127"/>
      <c r="G72" s="127"/>
      <c r="H72" s="127"/>
      <c r="I72" s="127"/>
      <c r="J72" s="127"/>
      <c r="K72" s="127"/>
    </row>
    <row r="73" spans="1:11" x14ac:dyDescent="0.25">
      <c r="A73" s="127"/>
      <c r="B73" s="127"/>
      <c r="C73" s="127"/>
      <c r="D73" s="127" t="s">
        <v>187</v>
      </c>
      <c r="E73" s="127"/>
      <c r="F73" s="127"/>
      <c r="G73" s="127"/>
      <c r="H73" s="127"/>
      <c r="I73" s="127"/>
      <c r="J73" s="127"/>
      <c r="K73" s="127"/>
    </row>
    <row r="74" spans="1:11" x14ac:dyDescent="0.25">
      <c r="A74" s="127">
        <f>D23/F23</f>
        <v>4.2668483387485592E-2</v>
      </c>
      <c r="B74" s="127" t="s">
        <v>142</v>
      </c>
      <c r="C74" s="127" t="s">
        <v>193</v>
      </c>
      <c r="D74" s="127"/>
      <c r="E74" s="127"/>
      <c r="F74" s="127"/>
      <c r="G74" s="127"/>
      <c r="H74" s="127"/>
      <c r="I74" s="127"/>
      <c r="J74" s="127"/>
      <c r="K74" s="127"/>
    </row>
    <row r="75" spans="1:11" x14ac:dyDescent="0.25">
      <c r="A75" s="22">
        <f>D23/A71</f>
        <v>2.0064070970921639</v>
      </c>
      <c r="B75" s="127" t="s">
        <v>139</v>
      </c>
      <c r="C75" s="127" t="s">
        <v>403</v>
      </c>
      <c r="D75" s="127"/>
      <c r="E75" s="127"/>
      <c r="F75" s="127"/>
      <c r="G75" s="127"/>
      <c r="H75" s="127"/>
      <c r="I75" s="127"/>
      <c r="J75" s="127"/>
      <c r="K75" s="127"/>
    </row>
    <row r="76" spans="1:11" x14ac:dyDescent="0.25">
      <c r="A76" s="127"/>
      <c r="B76" s="127"/>
      <c r="C76" s="127"/>
      <c r="D76" s="127" t="s">
        <v>189</v>
      </c>
      <c r="E76" s="127"/>
      <c r="F76" s="127"/>
      <c r="G76" s="127"/>
      <c r="H76" s="127"/>
      <c r="I76" s="127"/>
      <c r="J76" s="127"/>
      <c r="K76" s="127"/>
    </row>
    <row r="77" spans="1:11" x14ac:dyDescent="0.25">
      <c r="A77" s="127">
        <f>A71-E23</f>
        <v>143.15999999999997</v>
      </c>
      <c r="B77" s="127" t="s">
        <v>199</v>
      </c>
      <c r="C77" s="127" t="s">
        <v>200</v>
      </c>
      <c r="D77" s="127"/>
      <c r="E77" s="127"/>
      <c r="F77" s="127"/>
      <c r="G77" s="127"/>
      <c r="H77" s="127"/>
      <c r="I77" s="127"/>
      <c r="J77" s="127"/>
      <c r="K77" s="127"/>
    </row>
    <row r="78" spans="1:11" x14ac:dyDescent="0.25">
      <c r="A78" s="127"/>
      <c r="B78" s="127"/>
      <c r="C78" s="127"/>
      <c r="D78" s="127" t="s">
        <v>198</v>
      </c>
      <c r="E78" s="127"/>
      <c r="F78" s="127"/>
      <c r="G78" s="127"/>
      <c r="H78" s="127"/>
      <c r="I78" s="127"/>
      <c r="J78" s="127"/>
      <c r="K78" s="127"/>
    </row>
    <row r="79" spans="1:11" x14ac:dyDescent="0.25">
      <c r="A79" s="127">
        <f>F23/A77</f>
        <v>66.64571109248395</v>
      </c>
      <c r="B79" s="127" t="s">
        <v>135</v>
      </c>
      <c r="C79" s="127" t="s">
        <v>201</v>
      </c>
      <c r="D79" s="127"/>
      <c r="E79" s="127"/>
      <c r="F79" s="127"/>
      <c r="G79" s="127"/>
      <c r="H79" s="127"/>
      <c r="I79" s="127"/>
      <c r="J79" s="127"/>
      <c r="K79" s="127"/>
    </row>
    <row r="80" spans="1:11" x14ac:dyDescent="0.25">
      <c r="A80" s="127"/>
      <c r="B80" s="127"/>
      <c r="C80" s="127"/>
      <c r="D80" s="127"/>
      <c r="E80" s="127"/>
      <c r="F80" s="127"/>
      <c r="G80" s="127"/>
      <c r="H80" s="127"/>
      <c r="I80" s="127"/>
      <c r="J80" s="127"/>
      <c r="K80" s="127"/>
    </row>
    <row r="81" spans="1:11" x14ac:dyDescent="0.25">
      <c r="A81" s="132" t="s">
        <v>479</v>
      </c>
      <c r="B81" s="127"/>
      <c r="C81" s="127"/>
      <c r="D81" s="127"/>
      <c r="E81" s="127"/>
      <c r="F81" s="127"/>
      <c r="G81" s="127"/>
      <c r="H81" s="127"/>
      <c r="I81" s="127"/>
      <c r="J81" s="127"/>
      <c r="K81" s="127"/>
    </row>
    <row r="82" spans="1:11" x14ac:dyDescent="0.25">
      <c r="A82" s="127">
        <f>D24/F24</f>
        <v>6.2289068231841521E-2</v>
      </c>
      <c r="B82" s="127" t="s">
        <v>142</v>
      </c>
      <c r="C82" s="127" t="s">
        <v>268</v>
      </c>
      <c r="D82" s="127"/>
      <c r="E82" s="127"/>
      <c r="F82" s="127"/>
      <c r="G82" s="127"/>
      <c r="H82" s="127"/>
      <c r="I82" s="127"/>
      <c r="J82" s="127"/>
      <c r="K82" s="127"/>
    </row>
    <row r="83" spans="1:11" x14ac:dyDescent="0.25">
      <c r="A83" s="127"/>
      <c r="B83" s="127"/>
      <c r="C83" s="127"/>
      <c r="D83" s="127" t="s">
        <v>196</v>
      </c>
      <c r="E83" s="127"/>
      <c r="F83" s="127"/>
      <c r="G83" s="127"/>
      <c r="H83" s="127"/>
      <c r="I83" s="127"/>
      <c r="J83" s="127"/>
      <c r="K83" s="127"/>
    </row>
    <row r="84" spans="1:11" x14ac:dyDescent="0.25">
      <c r="A84" s="22">
        <f>A82*A72</f>
        <v>2.9290290783637261</v>
      </c>
      <c r="B84" s="127" t="s">
        <v>139</v>
      </c>
      <c r="C84" s="127" t="s">
        <v>191</v>
      </c>
      <c r="D84" s="127"/>
      <c r="E84" s="127"/>
      <c r="F84" s="127"/>
      <c r="G84" s="127"/>
      <c r="H84" s="127"/>
      <c r="I84" s="127"/>
      <c r="J84" s="127"/>
      <c r="K84" s="127"/>
    </row>
    <row r="85" spans="1:11" x14ac:dyDescent="0.25">
      <c r="A85" s="127"/>
      <c r="B85" s="127"/>
      <c r="C85" s="127"/>
      <c r="D85" s="127" t="s">
        <v>192</v>
      </c>
      <c r="E85" s="127"/>
      <c r="F85" s="127"/>
      <c r="G85" s="127"/>
      <c r="H85" s="127"/>
      <c r="I85" s="127"/>
      <c r="J85" s="127"/>
      <c r="K85" s="127"/>
    </row>
    <row r="86" spans="1:11" x14ac:dyDescent="0.25">
      <c r="A86" s="127"/>
      <c r="B86" s="127"/>
      <c r="C86" s="127"/>
      <c r="D86" s="127" t="s">
        <v>404</v>
      </c>
      <c r="E86" s="127"/>
      <c r="F86" s="127"/>
      <c r="G86" s="127"/>
      <c r="H86" s="127"/>
      <c r="I86" s="127"/>
      <c r="J86" s="127"/>
      <c r="K86" s="127"/>
    </row>
    <row r="87" spans="1:11" x14ac:dyDescent="0.25">
      <c r="A87" s="127">
        <f>B24/D24</f>
        <v>0.43950866565707558</v>
      </c>
      <c r="B87" s="127" t="s">
        <v>135</v>
      </c>
      <c r="C87" s="127" t="s">
        <v>500</v>
      </c>
      <c r="D87" s="127"/>
      <c r="E87" s="127"/>
      <c r="F87" s="127"/>
      <c r="G87" s="127"/>
      <c r="H87" s="127"/>
      <c r="I87" s="127"/>
      <c r="J87" s="127"/>
      <c r="K87" s="127"/>
    </row>
    <row r="88" spans="1:11" x14ac:dyDescent="0.25">
      <c r="A88" s="127"/>
      <c r="B88" s="127"/>
      <c r="C88" s="127"/>
      <c r="D88" s="127"/>
      <c r="E88" s="127"/>
      <c r="F88" s="127"/>
      <c r="G88" s="127"/>
      <c r="H88" s="127"/>
      <c r="I88" s="127"/>
      <c r="J88" s="127"/>
      <c r="K88" s="127"/>
    </row>
    <row r="89" spans="1:11" x14ac:dyDescent="0.25">
      <c r="A89" s="132" t="s">
        <v>478</v>
      </c>
      <c r="B89" s="127"/>
      <c r="C89" s="127"/>
      <c r="D89" s="127"/>
      <c r="E89" s="127"/>
      <c r="F89" s="127"/>
      <c r="G89" s="127"/>
      <c r="H89" s="127"/>
      <c r="I89" s="127"/>
      <c r="J89" s="127"/>
      <c r="K89" s="127"/>
    </row>
    <row r="90" spans="1:11" x14ac:dyDescent="0.25">
      <c r="A90" s="127">
        <f>B23/(A77+E23+D23)</f>
        <v>0.4281967213114754</v>
      </c>
      <c r="B90" s="127" t="s">
        <v>458</v>
      </c>
      <c r="C90" s="127" t="s">
        <v>476</v>
      </c>
      <c r="D90" s="127"/>
      <c r="E90" s="127"/>
      <c r="F90" s="127"/>
      <c r="G90" s="127"/>
      <c r="H90" s="127"/>
      <c r="I90" s="127"/>
      <c r="J90" s="127"/>
      <c r="K90" s="127"/>
    </row>
    <row r="91" spans="1:11" x14ac:dyDescent="0.25">
      <c r="A91" s="127"/>
      <c r="B91" s="127"/>
      <c r="C91" s="127"/>
      <c r="D91" s="127"/>
      <c r="E91" s="127" t="s">
        <v>477</v>
      </c>
      <c r="F91" s="127"/>
      <c r="G91" s="127"/>
      <c r="H91" s="127"/>
      <c r="I91" s="127"/>
      <c r="J91" s="127"/>
      <c r="K91" s="127"/>
    </row>
    <row r="92" spans="1:11" x14ac:dyDescent="0.25">
      <c r="A92" s="137" t="s">
        <v>462</v>
      </c>
      <c r="B92" s="127"/>
      <c r="C92" s="127"/>
      <c r="D92" s="127"/>
      <c r="E92" s="127"/>
      <c r="F92" s="127"/>
      <c r="G92" s="127"/>
      <c r="H92" s="127"/>
      <c r="I92" s="127"/>
      <c r="J92" s="127"/>
      <c r="K92" s="127"/>
    </row>
    <row r="93" spans="1:11" x14ac:dyDescent="0.25">
      <c r="A93" s="127">
        <f>A90/A72</f>
        <v>9.1060805737447174E-3</v>
      </c>
      <c r="B93" s="127" t="s">
        <v>463</v>
      </c>
      <c r="C93" s="127"/>
      <c r="D93" s="127"/>
      <c r="E93" s="127"/>
      <c r="F93" s="127"/>
      <c r="G93" s="127"/>
      <c r="H93" s="127"/>
      <c r="I93" s="127"/>
      <c r="J93" s="127"/>
      <c r="K93" s="127"/>
    </row>
    <row r="94" spans="1:11" x14ac:dyDescent="0.25">
      <c r="A94" s="127"/>
      <c r="B94" s="127"/>
      <c r="C94" s="137" t="s">
        <v>459</v>
      </c>
      <c r="D94" s="127"/>
      <c r="E94" s="127"/>
      <c r="F94" s="127"/>
      <c r="G94" s="127"/>
      <c r="H94" s="127"/>
      <c r="I94" s="127"/>
      <c r="J94" s="127"/>
      <c r="K94" s="127"/>
    </row>
    <row r="95" spans="1:11" x14ac:dyDescent="0.25">
      <c r="A95" s="138"/>
      <c r="B95" s="127"/>
      <c r="C95" s="127" t="s">
        <v>465</v>
      </c>
      <c r="D95" s="127">
        <v>1</v>
      </c>
      <c r="E95" s="127" t="s">
        <v>469</v>
      </c>
      <c r="F95" s="127"/>
      <c r="G95" s="127"/>
      <c r="H95" s="127"/>
      <c r="I95" s="127"/>
      <c r="J95" s="127"/>
      <c r="K95" s="127"/>
    </row>
    <row r="96" spans="1:11" x14ac:dyDescent="0.25">
      <c r="A96" s="127"/>
      <c r="B96" s="127"/>
      <c r="C96" s="127"/>
      <c r="D96" s="127">
        <f>D95*A93</f>
        <v>9.1060805737447174E-3</v>
      </c>
      <c r="E96" s="127" t="s">
        <v>460</v>
      </c>
      <c r="F96" s="127"/>
      <c r="G96" s="127"/>
      <c r="H96" s="127"/>
      <c r="I96" s="127"/>
      <c r="J96" s="127"/>
      <c r="K96" s="127"/>
    </row>
    <row r="97" spans="1:11" x14ac:dyDescent="0.25">
      <c r="A97" s="127" t="s">
        <v>470</v>
      </c>
      <c r="B97" s="127"/>
      <c r="C97" s="127"/>
      <c r="D97" s="127"/>
      <c r="E97" s="127"/>
      <c r="F97" s="127"/>
      <c r="G97" s="127"/>
      <c r="H97" s="127"/>
      <c r="I97" s="127"/>
      <c r="J97" s="127"/>
      <c r="K97" s="127"/>
    </row>
    <row r="98" spans="1:11" x14ac:dyDescent="0.25">
      <c r="A98" s="127" t="s">
        <v>461</v>
      </c>
      <c r="B98" s="127"/>
      <c r="C98" s="127"/>
      <c r="D98" s="127"/>
      <c r="E98" s="127"/>
      <c r="F98" s="127"/>
      <c r="G98" s="127"/>
      <c r="H98" s="127"/>
      <c r="I98" s="127"/>
      <c r="J98" s="127"/>
      <c r="K98" s="127"/>
    </row>
    <row r="99" spans="1:11" x14ac:dyDescent="0.25">
      <c r="A99" s="127">
        <f>F23/B23</f>
        <v>36.527565084226644</v>
      </c>
      <c r="B99" s="127" t="s">
        <v>464</v>
      </c>
      <c r="C99" s="127"/>
      <c r="D99" s="127" t="s">
        <v>503</v>
      </c>
      <c r="E99" s="127"/>
      <c r="F99" s="127"/>
      <c r="G99" s="127"/>
      <c r="H99" s="127"/>
      <c r="I99" s="127"/>
      <c r="J99" s="127"/>
      <c r="K99" s="127"/>
    </row>
    <row r="100" spans="1:11" x14ac:dyDescent="0.25">
      <c r="A100" s="127"/>
      <c r="B100" s="127"/>
      <c r="C100" s="127" t="s">
        <v>466</v>
      </c>
      <c r="D100" s="127"/>
      <c r="E100" s="127"/>
      <c r="F100" s="127"/>
      <c r="G100" s="127"/>
      <c r="H100" s="127"/>
      <c r="I100" s="127"/>
      <c r="J100" s="127"/>
      <c r="K100" s="127"/>
    </row>
    <row r="101" spans="1:11" x14ac:dyDescent="0.25">
      <c r="A101" s="127" t="s">
        <v>505</v>
      </c>
      <c r="B101" s="127"/>
      <c r="C101" s="127"/>
      <c r="D101" s="127"/>
      <c r="E101" s="127"/>
      <c r="F101" s="127"/>
      <c r="G101" s="127"/>
      <c r="H101" s="127"/>
      <c r="I101" s="127"/>
      <c r="J101" s="127"/>
      <c r="K101" s="127"/>
    </row>
    <row r="102" spans="1:11" x14ac:dyDescent="0.25">
      <c r="A102" s="127">
        <f>A93/(1/A99-A93)</f>
        <v>0.49840334070253001</v>
      </c>
      <c r="B102" s="127" t="s">
        <v>468</v>
      </c>
      <c r="C102" s="127"/>
      <c r="D102" s="127"/>
      <c r="E102" s="127"/>
      <c r="F102" s="127" t="s">
        <v>504</v>
      </c>
      <c r="G102" s="127"/>
      <c r="H102" s="127"/>
      <c r="I102" s="127"/>
      <c r="J102" s="127"/>
      <c r="K102" s="127"/>
    </row>
    <row r="103" spans="1:11" x14ac:dyDescent="0.25">
      <c r="A103" s="127" t="s">
        <v>467</v>
      </c>
      <c r="B103" s="127"/>
      <c r="C103" s="127"/>
      <c r="D103" s="127"/>
      <c r="E103" s="127"/>
      <c r="F103" s="127"/>
      <c r="G103" s="127"/>
      <c r="H103" s="127"/>
      <c r="I103" s="127"/>
      <c r="J103" s="127"/>
      <c r="K103" s="127"/>
    </row>
    <row r="104" spans="1:11" x14ac:dyDescent="0.25">
      <c r="A104" s="128">
        <f>A102*(1/A72)</f>
        <v>1.0599102591818815E-2</v>
      </c>
      <c r="B104" s="127" t="s">
        <v>473</v>
      </c>
      <c r="C104" s="127"/>
      <c r="D104" s="127"/>
      <c r="E104" s="127"/>
      <c r="F104" s="127"/>
      <c r="G104" s="127"/>
      <c r="H104" s="127"/>
      <c r="I104" s="127"/>
      <c r="J104" s="127"/>
      <c r="K104" s="127"/>
    </row>
    <row r="105" spans="1:11" x14ac:dyDescent="0.25">
      <c r="A105" s="127" t="s">
        <v>472</v>
      </c>
      <c r="B105" s="127"/>
      <c r="C105" s="127"/>
      <c r="D105" s="127"/>
      <c r="E105" s="127"/>
      <c r="F105" s="127"/>
      <c r="G105" s="127"/>
      <c r="H105" s="127"/>
      <c r="I105" s="127"/>
      <c r="J105" s="127"/>
      <c r="K105" s="127"/>
    </row>
    <row r="106" spans="1:11" x14ac:dyDescent="0.25">
      <c r="A106" s="22">
        <f>A104*A72</f>
        <v>0.49840334070252995</v>
      </c>
      <c r="B106" s="127" t="s">
        <v>474</v>
      </c>
      <c r="C106" s="127"/>
      <c r="D106" s="127"/>
      <c r="E106" s="127"/>
      <c r="F106" s="127"/>
      <c r="G106" s="127"/>
      <c r="H106" s="127"/>
      <c r="I106" s="127"/>
      <c r="J106" s="127"/>
      <c r="K106" s="127"/>
    </row>
    <row r="107" spans="1:11" x14ac:dyDescent="0.25">
      <c r="A107" s="139"/>
      <c r="B107" s="127" t="s">
        <v>475</v>
      </c>
      <c r="C107" s="127"/>
      <c r="D107" s="127"/>
      <c r="E107" s="127"/>
      <c r="F107" s="127"/>
      <c r="G107" s="127"/>
      <c r="H107" s="127"/>
      <c r="I107" s="127"/>
      <c r="J107" s="127"/>
      <c r="K107" s="127"/>
    </row>
    <row r="112" spans="1:11" x14ac:dyDescent="0.25">
      <c r="A112" t="s">
        <v>506</v>
      </c>
    </row>
    <row r="113" spans="1:1" x14ac:dyDescent="0.25">
      <c r="A113" t="s">
        <v>507</v>
      </c>
    </row>
    <row r="114" spans="1:1" x14ac:dyDescent="0.25">
      <c r="A114" t="s">
        <v>508</v>
      </c>
    </row>
    <row r="115" spans="1:1" x14ac:dyDescent="0.25">
      <c r="A115" t="s">
        <v>509</v>
      </c>
    </row>
    <row r="116" spans="1:1" x14ac:dyDescent="0.25">
      <c r="A116" t="s">
        <v>510</v>
      </c>
    </row>
    <row r="118" spans="1:1" x14ac:dyDescent="0.25">
      <c r="A118" t="s">
        <v>511</v>
      </c>
    </row>
    <row r="119" spans="1:1" x14ac:dyDescent="0.25">
      <c r="A119" t="s">
        <v>512</v>
      </c>
    </row>
    <row r="120" spans="1:1" x14ac:dyDescent="0.25">
      <c r="A120" t="s">
        <v>519</v>
      </c>
    </row>
    <row r="121" spans="1:1" x14ac:dyDescent="0.25">
      <c r="A121" t="s">
        <v>520</v>
      </c>
    </row>
    <row r="122" spans="1:1" x14ac:dyDescent="0.25">
      <c r="A122" t="s">
        <v>513</v>
      </c>
    </row>
    <row r="123" spans="1:1" x14ac:dyDescent="0.25">
      <c r="A123" t="s">
        <v>514</v>
      </c>
    </row>
    <row r="124" spans="1:1" x14ac:dyDescent="0.25">
      <c r="A124" t="s">
        <v>515</v>
      </c>
    </row>
    <row r="125" spans="1:1" x14ac:dyDescent="0.25">
      <c r="A125" t="s">
        <v>516</v>
      </c>
    </row>
    <row r="127" spans="1:1" x14ac:dyDescent="0.25">
      <c r="A127" t="s">
        <v>517</v>
      </c>
    </row>
    <row r="128" spans="1:1" x14ac:dyDescent="0.25">
      <c r="A128" t="s">
        <v>518</v>
      </c>
    </row>
  </sheetData>
  <mergeCells count="2">
    <mergeCell ref="A17:E17"/>
    <mergeCell ref="A21:E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9"/>
  <sheetViews>
    <sheetView zoomScaleNormal="100" workbookViewId="0">
      <selection activeCell="H24" sqref="H24"/>
    </sheetView>
  </sheetViews>
  <sheetFormatPr defaultRowHeight="15" x14ac:dyDescent="0.25"/>
  <cols>
    <col min="3" max="3" width="12" customWidth="1"/>
    <col min="25" max="25" width="10.85546875" customWidth="1"/>
    <col min="30" max="30" width="9.140625" style="111"/>
  </cols>
  <sheetData>
    <row r="1" spans="1:53" x14ac:dyDescent="0.25">
      <c r="A1" t="s">
        <v>223</v>
      </c>
      <c r="L1" t="s">
        <v>219</v>
      </c>
      <c r="AE1" s="59" t="s">
        <v>285</v>
      </c>
    </row>
    <row r="2" spans="1:53" x14ac:dyDescent="0.25">
      <c r="A2" t="s">
        <v>572</v>
      </c>
      <c r="L2" t="s">
        <v>220</v>
      </c>
      <c r="AE2" s="59" t="s">
        <v>286</v>
      </c>
    </row>
    <row r="3" spans="1:53" x14ac:dyDescent="0.25">
      <c r="A3" t="s">
        <v>573</v>
      </c>
      <c r="L3" t="s">
        <v>257</v>
      </c>
      <c r="AE3" s="97">
        <f>A6</f>
        <v>455</v>
      </c>
      <c r="AF3" s="97" t="s">
        <v>401</v>
      </c>
      <c r="AU3" t="s">
        <v>361</v>
      </c>
    </row>
    <row r="4" spans="1:53" x14ac:dyDescent="0.25">
      <c r="A4" s="59" t="s">
        <v>225</v>
      </c>
      <c r="L4" t="s">
        <v>221</v>
      </c>
      <c r="AE4">
        <f>AE3/(1-AE6)</f>
        <v>613.70000000000005</v>
      </c>
      <c r="AF4" t="s">
        <v>400</v>
      </c>
      <c r="AU4" t="s">
        <v>362</v>
      </c>
    </row>
    <row r="5" spans="1:53" x14ac:dyDescent="0.25">
      <c r="A5" t="s">
        <v>183</v>
      </c>
      <c r="B5" t="s">
        <v>237</v>
      </c>
      <c r="L5" t="s">
        <v>222</v>
      </c>
      <c r="T5" t="s">
        <v>229</v>
      </c>
      <c r="U5">
        <v>0</v>
      </c>
      <c r="V5">
        <v>1</v>
      </c>
      <c r="W5">
        <v>2</v>
      </c>
      <c r="X5">
        <v>3</v>
      </c>
      <c r="AE5" s="106">
        <v>0.11</v>
      </c>
      <c r="AF5" t="s">
        <v>290</v>
      </c>
      <c r="AV5" t="s">
        <v>229</v>
      </c>
      <c r="AW5">
        <v>0</v>
      </c>
      <c r="AX5">
        <v>1</v>
      </c>
      <c r="AY5">
        <v>2</v>
      </c>
      <c r="AZ5">
        <v>3</v>
      </c>
    </row>
    <row r="6" spans="1:53" x14ac:dyDescent="0.25">
      <c r="A6">
        <v>455</v>
      </c>
      <c r="B6">
        <f>ParameterEstimation650MWPlant!D23</f>
        <v>455</v>
      </c>
      <c r="C6" t="s">
        <v>41</v>
      </c>
      <c r="D6" t="s">
        <v>224</v>
      </c>
      <c r="T6" s="105" t="s">
        <v>230</v>
      </c>
      <c r="AE6" s="106">
        <f>ParameterEstimation650MWPlant!H23</f>
        <v>0.25859540492097122</v>
      </c>
      <c r="AF6" t="s">
        <v>291</v>
      </c>
      <c r="AV6" s="105" t="s">
        <v>293</v>
      </c>
    </row>
    <row r="7" spans="1:53" x14ac:dyDescent="0.25">
      <c r="A7">
        <v>158.69999999999999</v>
      </c>
      <c r="B7">
        <f>ParameterEstimation650MWPlant!D22-ParameterEstimation650MWPlant!D23</f>
        <v>158.70000000000005</v>
      </c>
      <c r="C7" t="s">
        <v>41</v>
      </c>
      <c r="D7" t="s">
        <v>236</v>
      </c>
      <c r="T7" s="99" t="s">
        <v>238</v>
      </c>
      <c r="U7" s="97">
        <f>A6</f>
        <v>455</v>
      </c>
      <c r="V7" s="97">
        <f>A6</f>
        <v>455</v>
      </c>
      <c r="W7" s="97">
        <f>A6</f>
        <v>455</v>
      </c>
      <c r="X7" s="97">
        <f>A6</f>
        <v>455</v>
      </c>
      <c r="AE7" s="106">
        <f>AE6-AE5</f>
        <v>0.14859540492097123</v>
      </c>
      <c r="AF7" t="s">
        <v>292</v>
      </c>
      <c r="AV7" s="99" t="s">
        <v>295</v>
      </c>
      <c r="AW7">
        <f>AE3</f>
        <v>455</v>
      </c>
      <c r="AX7">
        <f>AE3</f>
        <v>455</v>
      </c>
      <c r="AY7">
        <f>AE3</f>
        <v>455</v>
      </c>
      <c r="AZ7">
        <f>AE3</f>
        <v>455</v>
      </c>
    </row>
    <row r="8" spans="1:53" x14ac:dyDescent="0.25">
      <c r="A8">
        <v>7431</v>
      </c>
      <c r="B8">
        <f>ParameterEstimation650MWPlant!F23</f>
        <v>7431</v>
      </c>
      <c r="C8" t="s">
        <v>42</v>
      </c>
      <c r="D8" t="s">
        <v>227</v>
      </c>
      <c r="T8" s="99" t="s">
        <v>239</v>
      </c>
      <c r="U8" s="97">
        <f>A8</f>
        <v>7431</v>
      </c>
      <c r="V8" s="97">
        <f>A8</f>
        <v>7431</v>
      </c>
      <c r="W8" s="97">
        <f>A8</f>
        <v>7431</v>
      </c>
      <c r="X8" s="97">
        <f>A8</f>
        <v>7431</v>
      </c>
      <c r="AE8">
        <f>AE3*A9/A6</f>
        <v>46.53</v>
      </c>
      <c r="AF8" t="s">
        <v>301</v>
      </c>
      <c r="AV8" s="99"/>
      <c r="AZ8">
        <f>SUM(AW7:AZ7)</f>
        <v>1820</v>
      </c>
      <c r="BA8" s="59" t="s">
        <v>305</v>
      </c>
    </row>
    <row r="9" spans="1:53" x14ac:dyDescent="0.25">
      <c r="A9">
        <v>46.53</v>
      </c>
      <c r="B9">
        <f>ParameterEstimation650MWPlant!E23</f>
        <v>46.53</v>
      </c>
      <c r="C9" t="s">
        <v>41</v>
      </c>
      <c r="D9" t="s">
        <v>166</v>
      </c>
      <c r="P9" s="59"/>
      <c r="T9" s="99" t="s">
        <v>235</v>
      </c>
      <c r="U9" s="97">
        <f>A9</f>
        <v>46.53</v>
      </c>
      <c r="V9" s="97">
        <f>A9</f>
        <v>46.53</v>
      </c>
      <c r="W9" s="97">
        <f>A9</f>
        <v>46.53</v>
      </c>
      <c r="X9" s="97">
        <f>A9</f>
        <v>46.53</v>
      </c>
      <c r="AE9" s="125">
        <f>A6/A9</f>
        <v>9.7786374382119057</v>
      </c>
      <c r="AF9" t="s">
        <v>323</v>
      </c>
      <c r="AV9" s="105" t="s">
        <v>354</v>
      </c>
    </row>
    <row r="10" spans="1:53" x14ac:dyDescent="0.25">
      <c r="A10">
        <f>A7-A9</f>
        <v>112.16999999999999</v>
      </c>
      <c r="B10" t="s">
        <v>45</v>
      </c>
      <c r="C10" t="s">
        <v>41</v>
      </c>
      <c r="D10" t="s">
        <v>231</v>
      </c>
      <c r="T10" s="99" t="s">
        <v>234</v>
      </c>
      <c r="U10" s="97">
        <f>A10</f>
        <v>112.16999999999999</v>
      </c>
      <c r="V10" s="97">
        <f>A10</f>
        <v>112.16999999999999</v>
      </c>
      <c r="W10" s="97">
        <f>A10</f>
        <v>112.16999999999999</v>
      </c>
      <c r="X10" s="97">
        <f>A10</f>
        <v>112.16999999999999</v>
      </c>
      <c r="AE10" s="106">
        <v>0.2</v>
      </c>
      <c r="AF10" t="s">
        <v>304</v>
      </c>
      <c r="AV10" s="99" t="s">
        <v>295</v>
      </c>
      <c r="AW10">
        <f>AW13*$AE$9</f>
        <v>455</v>
      </c>
      <c r="AX10">
        <f>AX13*$AE$9</f>
        <v>90.999999999999972</v>
      </c>
      <c r="AY10">
        <f>AY13*$AE$9</f>
        <v>455</v>
      </c>
      <c r="AZ10">
        <f>AZ19-AZ16</f>
        <v>188.04381689967835</v>
      </c>
    </row>
    <row r="11" spans="1:53" x14ac:dyDescent="0.25">
      <c r="A11">
        <v>2.1356E-2</v>
      </c>
      <c r="B11">
        <f>1/ParameterEstimation650MWPlant!A72</f>
        <v>2.1356479612434403E-2</v>
      </c>
      <c r="C11" t="s">
        <v>249</v>
      </c>
      <c r="D11" t="s">
        <v>248</v>
      </c>
      <c r="T11" s="99" t="s">
        <v>233</v>
      </c>
      <c r="U11" s="97">
        <f>U10+U9</f>
        <v>158.69999999999999</v>
      </c>
      <c r="V11" s="97">
        <f>V10+V9</f>
        <v>158.69999999999999</v>
      </c>
      <c r="W11" s="97">
        <f>W10+W9</f>
        <v>158.69999999999999</v>
      </c>
      <c r="X11" s="97">
        <f>X10+X9</f>
        <v>158.69999999999999</v>
      </c>
      <c r="AE11">
        <f>AE10*AE3</f>
        <v>91</v>
      </c>
      <c r="AF11" t="s">
        <v>306</v>
      </c>
      <c r="AV11" s="99" t="s">
        <v>294</v>
      </c>
      <c r="AW11">
        <v>0</v>
      </c>
      <c r="AX11">
        <f>AE30</f>
        <v>27.607416563658841</v>
      </c>
      <c r="AY11">
        <v>0</v>
      </c>
      <c r="AZ11">
        <v>0</v>
      </c>
    </row>
    <row r="12" spans="1:53" x14ac:dyDescent="0.25">
      <c r="A12">
        <v>6.123E-2</v>
      </c>
      <c r="B12">
        <f>ParameterEstimation650MWPlant!A74</f>
        <v>6.1229982505719281E-2</v>
      </c>
      <c r="C12" t="s">
        <v>249</v>
      </c>
      <c r="D12" t="s">
        <v>253</v>
      </c>
      <c r="T12" s="99" t="s">
        <v>407</v>
      </c>
      <c r="U12" s="97">
        <f>$A$6+$A$7</f>
        <v>613.70000000000005</v>
      </c>
      <c r="V12" s="97">
        <f>$A$6+$A$7</f>
        <v>613.70000000000005</v>
      </c>
      <c r="W12" s="97">
        <f>$A$6+$A$7</f>
        <v>613.70000000000005</v>
      </c>
      <c r="X12" s="97">
        <f>$A$6+$A$7</f>
        <v>613.70000000000005</v>
      </c>
      <c r="AE12">
        <f>(ParameterEstimation650MWPlant!F23/ParameterEstimation650MWPlant!E23)</f>
        <v>159.70341715022565</v>
      </c>
      <c r="AF12" t="s">
        <v>344</v>
      </c>
      <c r="AV12" s="99" t="s">
        <v>300</v>
      </c>
      <c r="AW12">
        <f>$AE$8-AW11</f>
        <v>46.53</v>
      </c>
      <c r="AX12">
        <f>$AE$8-AX11</f>
        <v>18.92258343634116</v>
      </c>
      <c r="AY12">
        <f>$AE$8-AY11</f>
        <v>46.53</v>
      </c>
      <c r="AZ12">
        <f>AZ10/AE9</f>
        <v>19.230063297455018</v>
      </c>
    </row>
    <row r="13" spans="1:53" x14ac:dyDescent="0.25">
      <c r="A13">
        <f>A10/(A9+A10)</f>
        <v>0.70680529300567108</v>
      </c>
      <c r="B13" t="s">
        <v>45</v>
      </c>
      <c r="C13" t="s">
        <v>139</v>
      </c>
      <c r="D13" t="s">
        <v>259</v>
      </c>
      <c r="X13">
        <f>SUM(U7:X7)</f>
        <v>1820</v>
      </c>
      <c r="Y13" s="59" t="s">
        <v>267</v>
      </c>
      <c r="AE13" s="125">
        <f>V46</f>
        <v>0.34833333333333333</v>
      </c>
      <c r="AF13" s="113" t="s">
        <v>386</v>
      </c>
      <c r="AV13" s="99" t="s">
        <v>388</v>
      </c>
      <c r="AW13">
        <f>AW12-AW14</f>
        <v>46.53</v>
      </c>
      <c r="AX13">
        <f>AX12-AX14</f>
        <v>9.3059999999999974</v>
      </c>
      <c r="AY13">
        <f>AY12-AY14</f>
        <v>46.53</v>
      </c>
      <c r="AZ13">
        <f>AZ12-AZ14</f>
        <v>19.230063297455018</v>
      </c>
    </row>
    <row r="14" spans="1:53" x14ac:dyDescent="0.25">
      <c r="A14">
        <f>A9/(A10+A9)</f>
        <v>0.29319470699432892</v>
      </c>
      <c r="B14" t="s">
        <v>45</v>
      </c>
      <c r="C14" t="s">
        <v>139</v>
      </c>
      <c r="D14" t="s">
        <v>260</v>
      </c>
      <c r="X14">
        <f>SUM(U12:X12)</f>
        <v>2454.8000000000002</v>
      </c>
      <c r="Y14" s="59" t="s">
        <v>408</v>
      </c>
      <c r="AG14" t="s">
        <v>387</v>
      </c>
      <c r="AV14" s="99" t="s">
        <v>389</v>
      </c>
      <c r="AW14">
        <v>0</v>
      </c>
      <c r="AX14">
        <f>AX11*AE13</f>
        <v>9.6165834363411626</v>
      </c>
      <c r="AY14">
        <v>0</v>
      </c>
      <c r="AZ14">
        <v>0</v>
      </c>
    </row>
    <row r="15" spans="1:53" x14ac:dyDescent="0.25">
      <c r="A15">
        <v>9.7786299999999997</v>
      </c>
      <c r="B15">
        <f>ParameterEstimation650MWPlant!D23/ParameterEstimation650MWPlant!E23</f>
        <v>9.7786374382119057</v>
      </c>
      <c r="C15" t="s">
        <v>139</v>
      </c>
      <c r="D15" t="s">
        <v>349</v>
      </c>
      <c r="T15" s="105" t="s">
        <v>232</v>
      </c>
      <c r="U15" s="97"/>
      <c r="V15" s="97"/>
      <c r="W15" s="97"/>
      <c r="X15" s="97"/>
      <c r="Z15" s="7" t="s">
        <v>279</v>
      </c>
      <c r="AE15" s="59" t="s">
        <v>288</v>
      </c>
      <c r="AK15" s="99"/>
      <c r="AV15" s="99" t="s">
        <v>356</v>
      </c>
      <c r="AW15">
        <f>SUM(AW11:AW12)*$AE$12</f>
        <v>7430.9999999999991</v>
      </c>
      <c r="AX15">
        <f>SUM(AX11:AX12)*$AE$12</f>
        <v>7430.9999999999991</v>
      </c>
      <c r="AY15">
        <f>SUM(AY11:AY12)*$AE$12</f>
        <v>7430.9999999999991</v>
      </c>
      <c r="AZ15">
        <f>SUM(AZ11:AZ12)*$AE$12</f>
        <v>3071.1068206187024</v>
      </c>
    </row>
    <row r="16" spans="1:53" x14ac:dyDescent="0.25">
      <c r="A16">
        <v>12.10852</v>
      </c>
      <c r="B16">
        <f>ParameterEstimation650MWPlant!F23/(ParameterEstimation650MWPlant!D23+ParameterEstimation650MWPlant!A71)</f>
        <v>12.108522079191786</v>
      </c>
      <c r="C16" t="s">
        <v>372</v>
      </c>
      <c r="D16" t="s">
        <v>373</v>
      </c>
      <c r="T16" s="99" t="s">
        <v>264</v>
      </c>
      <c r="U16" s="97">
        <f>A6</f>
        <v>455</v>
      </c>
      <c r="V16" s="97">
        <f>V20*A12</f>
        <v>207.32478</v>
      </c>
      <c r="W16" s="97">
        <f>A6</f>
        <v>455</v>
      </c>
      <c r="X16" s="97">
        <f>X20*A12</f>
        <v>271.31013000000002</v>
      </c>
      <c r="Y16" t="s">
        <v>281</v>
      </c>
      <c r="Z16">
        <f>Z19*A12</f>
        <v>0</v>
      </c>
      <c r="AE16" s="7" t="s">
        <v>298</v>
      </c>
      <c r="AK16" s="99"/>
      <c r="AV16" s="99" t="s">
        <v>296</v>
      </c>
      <c r="AW16">
        <v>0</v>
      </c>
      <c r="AX16">
        <v>0</v>
      </c>
      <c r="AY16">
        <v>0</v>
      </c>
      <c r="AZ16">
        <f>AX11*AE21</f>
        <v>357.20848908521799</v>
      </c>
      <c r="BA16" s="108"/>
    </row>
    <row r="17" spans="1:53" x14ac:dyDescent="0.25">
      <c r="T17" s="99" t="s">
        <v>265</v>
      </c>
      <c r="U17">
        <v>0</v>
      </c>
      <c r="V17">
        <v>0</v>
      </c>
      <c r="W17">
        <v>0</v>
      </c>
      <c r="X17">
        <f>$A$29*X23</f>
        <v>242.79300000000001</v>
      </c>
      <c r="Y17" t="s">
        <v>282</v>
      </c>
      <c r="Z17">
        <f>$A$29*Z21</f>
        <v>601.39826100000005</v>
      </c>
      <c r="AE17" s="106">
        <v>0.9</v>
      </c>
      <c r="AF17" t="s">
        <v>58</v>
      </c>
      <c r="AK17" s="99"/>
      <c r="AV17" s="99" t="s">
        <v>357</v>
      </c>
      <c r="AW17">
        <f>AW16/$A$29</f>
        <v>0</v>
      </c>
      <c r="AX17">
        <f>AX16/$A$29</f>
        <v>0</v>
      </c>
      <c r="AY17">
        <f>AY16/$A$29</f>
        <v>0</v>
      </c>
      <c r="AZ17">
        <f>AZ16/$A$29</f>
        <v>4413.7412003461959</v>
      </c>
    </row>
    <row r="18" spans="1:53" x14ac:dyDescent="0.25">
      <c r="T18" s="99" t="s">
        <v>266</v>
      </c>
      <c r="U18">
        <f>U17+U16</f>
        <v>455</v>
      </c>
      <c r="V18">
        <f>V17+V16</f>
        <v>207.32478</v>
      </c>
      <c r="W18">
        <f>W17+W16</f>
        <v>455</v>
      </c>
      <c r="X18">
        <f>X17+X16</f>
        <v>514.10312999999996</v>
      </c>
      <c r="Y18" s="97" t="s">
        <v>278</v>
      </c>
      <c r="Z18">
        <f>Z17+Z16</f>
        <v>601.39826100000005</v>
      </c>
      <c r="AE18" s="107">
        <f>(AE17*AE5+AE7)/AE6</f>
        <v>0.95746250787649656</v>
      </c>
      <c r="AF18" t="s">
        <v>59</v>
      </c>
      <c r="AJ18">
        <f>AE19*(3.4)</f>
        <v>12.884436000000001</v>
      </c>
      <c r="AK18" s="99"/>
      <c r="AV18" s="99" t="s">
        <v>359</v>
      </c>
      <c r="AW18">
        <v>0</v>
      </c>
      <c r="AX18">
        <v>0</v>
      </c>
      <c r="AY18">
        <v>0</v>
      </c>
      <c r="AZ18" s="108">
        <f>AZ17/AY15</f>
        <v>0.59396328897136275</v>
      </c>
    </row>
    <row r="19" spans="1:53" x14ac:dyDescent="0.25">
      <c r="A19" s="59" t="s">
        <v>226</v>
      </c>
      <c r="T19" s="99" t="s">
        <v>378</v>
      </c>
      <c r="U19" s="97">
        <f>A8</f>
        <v>7431</v>
      </c>
      <c r="V19" s="97">
        <f>U19-V22</f>
        <v>4431</v>
      </c>
      <c r="W19" s="97">
        <f>W8</f>
        <v>7431</v>
      </c>
      <c r="X19" s="97">
        <f>W24-X23</f>
        <v>4431</v>
      </c>
      <c r="Y19" s="97" t="s">
        <v>284</v>
      </c>
      <c r="Z19">
        <f>W24-Z21</f>
        <v>0</v>
      </c>
      <c r="AE19">
        <f>A30</f>
        <v>3.7895400000000001</v>
      </c>
      <c r="AF19" t="s">
        <v>307</v>
      </c>
      <c r="AK19" s="99"/>
      <c r="AV19" s="99" t="s">
        <v>360</v>
      </c>
      <c r="AW19">
        <f>AW18*$AE$23</f>
        <v>0</v>
      </c>
      <c r="AX19">
        <f>AX18*$AE$23</f>
        <v>0</v>
      </c>
      <c r="AY19">
        <f>AY18*$AE$23</f>
        <v>0</v>
      </c>
      <c r="AZ19">
        <f>AZ18*($AE$23-$AE$3)+$AE$3</f>
        <v>545.25230598489634</v>
      </c>
    </row>
    <row r="20" spans="1:53" x14ac:dyDescent="0.25">
      <c r="A20" t="s">
        <v>183</v>
      </c>
      <c r="B20" t="s">
        <v>237</v>
      </c>
      <c r="T20" s="99" t="s">
        <v>379</v>
      </c>
      <c r="U20">
        <f>U19</f>
        <v>7431</v>
      </c>
      <c r="V20">
        <f>4431-776-200-52-14-3</f>
        <v>3386</v>
      </c>
      <c r="W20">
        <f>W19</f>
        <v>7431</v>
      </c>
      <c r="X20">
        <f>X19</f>
        <v>4431</v>
      </c>
      <c r="Y20" s="97" t="s">
        <v>457</v>
      </c>
      <c r="Z20">
        <v>0</v>
      </c>
      <c r="AF20" t="s">
        <v>321</v>
      </c>
      <c r="AK20" s="99"/>
      <c r="AV20" s="99" t="s">
        <v>358</v>
      </c>
      <c r="AW20">
        <f>AW17+AW15</f>
        <v>7430.9999999999991</v>
      </c>
      <c r="AX20">
        <f>AX17+AX15</f>
        <v>7430.9999999999991</v>
      </c>
      <c r="AY20">
        <f>AY17+AY15</f>
        <v>7430.9999999999991</v>
      </c>
      <c r="AZ20">
        <f>AZ17+AZ15</f>
        <v>7484.8480209648988</v>
      </c>
    </row>
    <row r="21" spans="1:53" x14ac:dyDescent="0.25">
      <c r="A21">
        <v>601.4</v>
      </c>
      <c r="B21">
        <f>ParameterEstimation650MWPlant!D24</f>
        <v>601.4</v>
      </c>
      <c r="C21" t="s">
        <v>41</v>
      </c>
      <c r="D21" t="s">
        <v>224</v>
      </c>
      <c r="T21" s="99" t="s">
        <v>380</v>
      </c>
      <c r="U21">
        <f>U19-U20</f>
        <v>0</v>
      </c>
      <c r="V21" s="136">
        <f>V19-V20</f>
        <v>1045</v>
      </c>
      <c r="W21">
        <f>W19-W20</f>
        <v>0</v>
      </c>
      <c r="X21">
        <f>X19-X20</f>
        <v>0</v>
      </c>
      <c r="Y21" t="s">
        <v>283</v>
      </c>
      <c r="Z21">
        <v>7431</v>
      </c>
      <c r="AE21" s="134">
        <f>AE19*(1+ParameterEstimation650MWPlant!AD14)</f>
        <v>12.938859681475272</v>
      </c>
      <c r="AF21" s="109" t="s">
        <v>324</v>
      </c>
      <c r="AK21" s="99"/>
      <c r="AV21" s="99" t="s">
        <v>302</v>
      </c>
      <c r="AW21">
        <v>0</v>
      </c>
      <c r="AX21">
        <v>0</v>
      </c>
      <c r="AY21">
        <v>0</v>
      </c>
      <c r="AZ21">
        <f>AX11</f>
        <v>27.607416563658841</v>
      </c>
    </row>
    <row r="22" spans="1:53" x14ac:dyDescent="0.25">
      <c r="A22">
        <v>7431</v>
      </c>
      <c r="B22">
        <f>ParameterEstimation650MWPlant!F24</f>
        <v>7431</v>
      </c>
      <c r="C22" t="s">
        <v>42</v>
      </c>
      <c r="D22" t="s">
        <v>227</v>
      </c>
      <c r="T22" s="99" t="s">
        <v>262</v>
      </c>
      <c r="U22" s="97">
        <v>0</v>
      </c>
      <c r="V22" s="97">
        <f>A25</f>
        <v>3000</v>
      </c>
      <c r="W22" s="97">
        <v>0</v>
      </c>
      <c r="X22" s="97">
        <v>0</v>
      </c>
      <c r="Y22" t="s">
        <v>280</v>
      </c>
      <c r="Z22">
        <f>Z19+Z21</f>
        <v>7431</v>
      </c>
      <c r="AF22" s="109" t="s">
        <v>325</v>
      </c>
      <c r="AK22" s="99"/>
      <c r="AV22" s="99" t="s">
        <v>303</v>
      </c>
      <c r="AW22">
        <v>0</v>
      </c>
      <c r="AX22">
        <v>0</v>
      </c>
      <c r="AY22">
        <v>0</v>
      </c>
      <c r="AZ22">
        <f>AZ16-AZ21</f>
        <v>329.60107252155916</v>
      </c>
    </row>
    <row r="23" spans="1:53" x14ac:dyDescent="0.25">
      <c r="A23">
        <v>4.55</v>
      </c>
      <c r="B23">
        <f>ParameterEstimation650MWPlant!E24</f>
        <v>4.55</v>
      </c>
      <c r="C23" t="s">
        <v>41</v>
      </c>
      <c r="D23" t="s">
        <v>166</v>
      </c>
      <c r="T23" s="99" t="s">
        <v>263</v>
      </c>
      <c r="U23" s="97">
        <v>0</v>
      </c>
      <c r="V23" s="97">
        <v>0</v>
      </c>
      <c r="W23" s="97">
        <v>0</v>
      </c>
      <c r="X23" s="97">
        <f>W26</f>
        <v>3000</v>
      </c>
      <c r="Z23">
        <f>Z21</f>
        <v>7431</v>
      </c>
      <c r="AE23">
        <f>AE3+(AE4-AE3)*AE18</f>
        <v>606.94929999999999</v>
      </c>
      <c r="AF23" t="s">
        <v>308</v>
      </c>
      <c r="AV23" s="99" t="s">
        <v>322</v>
      </c>
      <c r="AW23">
        <f>AW16+AW10</f>
        <v>455</v>
      </c>
      <c r="AX23">
        <f>AX16+AX10</f>
        <v>90.999999999999972</v>
      </c>
      <c r="AY23">
        <f>AY16+AY10</f>
        <v>455</v>
      </c>
      <c r="AZ23">
        <f>AZ16+AZ10</f>
        <v>545.25230598489634</v>
      </c>
    </row>
    <row r="24" spans="1:53" x14ac:dyDescent="0.25">
      <c r="A24">
        <v>0</v>
      </c>
      <c r="B24" t="s">
        <v>45</v>
      </c>
      <c r="C24" t="s">
        <v>41</v>
      </c>
      <c r="D24" t="s">
        <v>231</v>
      </c>
      <c r="T24" s="99" t="s">
        <v>275</v>
      </c>
      <c r="U24">
        <f>U19+U23</f>
        <v>7431</v>
      </c>
      <c r="V24">
        <f>V19+V23</f>
        <v>4431</v>
      </c>
      <c r="W24">
        <f>W19+W23</f>
        <v>7431</v>
      </c>
      <c r="X24">
        <f>X19+X23</f>
        <v>7431</v>
      </c>
      <c r="Z24">
        <v>0</v>
      </c>
      <c r="AZ24">
        <f>SUM(AW23:AZ23)</f>
        <v>1546.2523059848963</v>
      </c>
      <c r="BA24" s="59" t="s">
        <v>305</v>
      </c>
    </row>
    <row r="25" spans="1:53" x14ac:dyDescent="0.25">
      <c r="A25">
        <v>3000</v>
      </c>
      <c r="B25" t="s">
        <v>45</v>
      </c>
      <c r="C25" t="s">
        <v>42</v>
      </c>
      <c r="D25" t="s">
        <v>252</v>
      </c>
      <c r="T25" s="99" t="s">
        <v>240</v>
      </c>
      <c r="U25" s="97">
        <f>A26</f>
        <v>3000</v>
      </c>
      <c r="V25" s="97">
        <f>U25-V22</f>
        <v>0</v>
      </c>
      <c r="W25" s="97">
        <f>V25</f>
        <v>0</v>
      </c>
      <c r="X25" s="97">
        <f>X23</f>
        <v>3000</v>
      </c>
      <c r="Z25" s="97">
        <f>Z19*$A$28</f>
        <v>0</v>
      </c>
      <c r="AE25" s="97" t="s">
        <v>332</v>
      </c>
      <c r="AZ25">
        <f>(AZ24-AZ8)/AZ8</f>
        <v>-0.15041082088741958</v>
      </c>
      <c r="BA25" s="59" t="s">
        <v>402</v>
      </c>
    </row>
    <row r="26" spans="1:53" x14ac:dyDescent="0.25">
      <c r="A26">
        <f>A25</f>
        <v>3000</v>
      </c>
      <c r="B26" t="s">
        <v>45</v>
      </c>
      <c r="C26" t="s">
        <v>42</v>
      </c>
      <c r="D26" t="s">
        <v>251</v>
      </c>
      <c r="T26" s="99" t="s">
        <v>241</v>
      </c>
      <c r="U26" s="97">
        <f>A27</f>
        <v>0</v>
      </c>
      <c r="V26" s="97">
        <f>U26+V22</f>
        <v>3000</v>
      </c>
      <c r="W26" s="97">
        <f>V26</f>
        <v>3000</v>
      </c>
      <c r="X26" s="97">
        <v>0</v>
      </c>
      <c r="Z26" s="97">
        <f>Z25*$A$14</f>
        <v>0</v>
      </c>
      <c r="AE26" t="s">
        <v>333</v>
      </c>
      <c r="AV26" s="105" t="s">
        <v>355</v>
      </c>
    </row>
    <row r="27" spans="1:53" x14ac:dyDescent="0.25">
      <c r="A27">
        <v>0</v>
      </c>
      <c r="B27" t="s">
        <v>45</v>
      </c>
      <c r="C27" t="s">
        <v>42</v>
      </c>
      <c r="D27" t="s">
        <v>250</v>
      </c>
      <c r="T27" s="99" t="s">
        <v>261</v>
      </c>
      <c r="U27" s="97">
        <f>U19*$A$28</f>
        <v>158.69643600000001</v>
      </c>
      <c r="V27" s="97">
        <f>V19*$A$28</f>
        <v>94.628435999999994</v>
      </c>
      <c r="W27" s="97">
        <f>W19*$A$28</f>
        <v>158.69643600000001</v>
      </c>
      <c r="X27" s="97">
        <f>X19*$A$28</f>
        <v>94.628435999999994</v>
      </c>
      <c r="Z27" s="97">
        <f>Z25*$A$13</f>
        <v>0</v>
      </c>
      <c r="AE27" t="s">
        <v>334</v>
      </c>
      <c r="AV27" s="99" t="s">
        <v>295</v>
      </c>
      <c r="AW27">
        <f>AE3</f>
        <v>455</v>
      </c>
      <c r="AX27">
        <f>AX30*$AE$9</f>
        <v>90.999999999999972</v>
      </c>
      <c r="AY27">
        <f>AE3</f>
        <v>455</v>
      </c>
      <c r="AZ27">
        <f>AE3</f>
        <v>455</v>
      </c>
    </row>
    <row r="28" spans="1:53" x14ac:dyDescent="0.25">
      <c r="A28">
        <f>A11</f>
        <v>2.1356E-2</v>
      </c>
      <c r="B28" t="s">
        <v>45</v>
      </c>
      <c r="C28" t="s">
        <v>249</v>
      </c>
      <c r="D28" t="s">
        <v>254</v>
      </c>
      <c r="T28" s="99" t="s">
        <v>244</v>
      </c>
      <c r="U28" s="97">
        <f>U27*$A$14</f>
        <v>46.528955054064276</v>
      </c>
      <c r="V28" s="97">
        <f>V27*$A$14</f>
        <v>27.744556566351605</v>
      </c>
      <c r="W28" s="97">
        <f>W27*$A$14</f>
        <v>46.528955054064276</v>
      </c>
      <c r="X28" s="97">
        <f>X27*$A$14</f>
        <v>27.744556566351605</v>
      </c>
      <c r="Z28" s="97">
        <f>Z20*$A$28</f>
        <v>0</v>
      </c>
      <c r="AE28" t="s">
        <v>335</v>
      </c>
      <c r="AV28" s="99" t="s">
        <v>294</v>
      </c>
      <c r="AW28">
        <v>0</v>
      </c>
      <c r="AX28">
        <f>AE46</f>
        <v>6.9114959382214733</v>
      </c>
      <c r="AY28">
        <v>0</v>
      </c>
      <c r="AZ28">
        <v>0</v>
      </c>
    </row>
    <row r="29" spans="1:53" x14ac:dyDescent="0.25">
      <c r="A29">
        <v>8.0931000000000003E-2</v>
      </c>
      <c r="B29">
        <f>ParameterEstimation650MWPlant!A82</f>
        <v>8.0931234019647413E-2</v>
      </c>
      <c r="C29" t="s">
        <v>249</v>
      </c>
      <c r="D29" t="s">
        <v>269</v>
      </c>
      <c r="T29" s="99" t="s">
        <v>247</v>
      </c>
      <c r="U29" s="97">
        <f>U27*$A$13</f>
        <v>112.16748094593574</v>
      </c>
      <c r="V29" s="97">
        <f>V27*$A$13</f>
        <v>66.883879433648389</v>
      </c>
      <c r="W29" s="97">
        <f>W27*$A$13</f>
        <v>112.16748094593574</v>
      </c>
      <c r="X29" s="97">
        <f>X27*$A$13</f>
        <v>66.883879433648389</v>
      </c>
      <c r="Z29" s="97">
        <f>Z28*$A$14</f>
        <v>0</v>
      </c>
      <c r="AE29" s="7" t="s">
        <v>336</v>
      </c>
      <c r="AV29" s="99" t="s">
        <v>300</v>
      </c>
      <c r="AW29">
        <f>$AE$8-AW28*$AE$47</f>
        <v>46.53</v>
      </c>
      <c r="AX29">
        <f>$AE$8-AX28*$AE$47</f>
        <v>18.92258343634116</v>
      </c>
      <c r="AY29">
        <f>$AE$8-AY28*$AE$47</f>
        <v>46.53</v>
      </c>
      <c r="AZ29">
        <f>$AE$8-AZ28*$AE$47</f>
        <v>46.53</v>
      </c>
    </row>
    <row r="30" spans="1:53" x14ac:dyDescent="0.25">
      <c r="A30">
        <v>3.7895400000000001</v>
      </c>
      <c r="B30">
        <f>ParameterEstimation650MWPlant!A84</f>
        <v>3.789540012602393</v>
      </c>
      <c r="C30" t="s">
        <v>139</v>
      </c>
      <c r="D30" t="s">
        <v>255</v>
      </c>
      <c r="T30" s="99" t="s">
        <v>384</v>
      </c>
      <c r="U30">
        <f>U21*$A$28*$A$14</f>
        <v>0</v>
      </c>
      <c r="V30">
        <f>V21*$A$28*$A$14</f>
        <v>6.5432321398865785</v>
      </c>
      <c r="W30">
        <f>W21*$A$28*$A$14</f>
        <v>0</v>
      </c>
      <c r="X30">
        <f>X21*$A$28*$A$14</f>
        <v>0</v>
      </c>
      <c r="AE30" s="59">
        <f>AE8*(1-AE10)/(1+AE13)</f>
        <v>27.607416563658841</v>
      </c>
      <c r="AF30" t="s">
        <v>287</v>
      </c>
      <c r="AH30" t="s">
        <v>346</v>
      </c>
      <c r="AV30" s="99" t="s">
        <v>388</v>
      </c>
      <c r="AW30">
        <f>AW29-AW31</f>
        <v>46.53</v>
      </c>
      <c r="AX30">
        <f>AX29-AX31</f>
        <v>9.3059999999999974</v>
      </c>
      <c r="AY30">
        <f>AY29-AY31</f>
        <v>46.53</v>
      </c>
      <c r="AZ30">
        <f>AZ29-AZ31</f>
        <v>46.53</v>
      </c>
    </row>
    <row r="31" spans="1:53" x14ac:dyDescent="0.25">
      <c r="A31">
        <f>A26*A28</f>
        <v>64.067999999999998</v>
      </c>
      <c r="B31" t="s">
        <v>45</v>
      </c>
      <c r="C31" t="s">
        <v>199</v>
      </c>
      <c r="D31" t="s">
        <v>256</v>
      </c>
      <c r="T31" s="99" t="s">
        <v>258</v>
      </c>
      <c r="U31" s="97">
        <f>U22*$A$28</f>
        <v>0</v>
      </c>
      <c r="V31" s="97">
        <f>V22*$A$28</f>
        <v>64.067999999999998</v>
      </c>
      <c r="W31" s="97">
        <f>W22*$A$28</f>
        <v>0</v>
      </c>
      <c r="X31" s="97">
        <f>X22*$A$28</f>
        <v>0</v>
      </c>
      <c r="Z31" s="97">
        <f>Z28*$A$13</f>
        <v>0</v>
      </c>
      <c r="AF31" t="s">
        <v>309</v>
      </c>
      <c r="AV31" s="99" t="s">
        <v>389</v>
      </c>
      <c r="AW31">
        <v>0</v>
      </c>
      <c r="AX31">
        <f>AX28*AE13*AE47</f>
        <v>9.6165834363411626</v>
      </c>
      <c r="AY31">
        <v>0</v>
      </c>
      <c r="AZ31">
        <v>0</v>
      </c>
    </row>
    <row r="32" spans="1:53" x14ac:dyDescent="0.25">
      <c r="T32" s="99" t="s">
        <v>245</v>
      </c>
      <c r="U32" s="97">
        <f>U31*$A$14</f>
        <v>0</v>
      </c>
      <c r="V32" s="97">
        <f>V31*$A$14</f>
        <v>18.784398487712664</v>
      </c>
      <c r="W32" s="97">
        <f>W31*$A$14</f>
        <v>0</v>
      </c>
      <c r="X32" s="97">
        <f>X31*$A$14</f>
        <v>0</v>
      </c>
      <c r="Z32" s="97">
        <f>Z29+Z26</f>
        <v>0</v>
      </c>
      <c r="AF32" t="s">
        <v>310</v>
      </c>
      <c r="AV32" s="99" t="s">
        <v>296</v>
      </c>
      <c r="AW32">
        <v>0</v>
      </c>
      <c r="AX32">
        <v>0</v>
      </c>
      <c r="AY32">
        <v>0</v>
      </c>
      <c r="AZ32">
        <f>AX28*AE21</f>
        <v>89.426876133733927</v>
      </c>
    </row>
    <row r="33" spans="11:58" x14ac:dyDescent="0.25">
      <c r="T33" s="99" t="s">
        <v>246</v>
      </c>
      <c r="U33" s="97">
        <f>U31*$A$13</f>
        <v>0</v>
      </c>
      <c r="V33" s="97">
        <f>V31*$A$13</f>
        <v>45.283601512287333</v>
      </c>
      <c r="W33" s="97">
        <f>W31*$A$13</f>
        <v>0</v>
      </c>
      <c r="X33" s="97">
        <f>X31*$A$13</f>
        <v>0</v>
      </c>
      <c r="Z33" s="97">
        <f>Z31+Z27</f>
        <v>0</v>
      </c>
      <c r="AE33">
        <f>AE23/A29</f>
        <v>7499.5897740050159</v>
      </c>
      <c r="AF33" t="s">
        <v>340</v>
      </c>
      <c r="AV33" s="99" t="s">
        <v>302</v>
      </c>
      <c r="AW33">
        <v>0</v>
      </c>
      <c r="AX33">
        <v>0</v>
      </c>
      <c r="AY33">
        <v>0</v>
      </c>
      <c r="AZ33">
        <f>AX28</f>
        <v>6.9114959382214733</v>
      </c>
    </row>
    <row r="34" spans="11:58" x14ac:dyDescent="0.25">
      <c r="T34" s="99" t="s">
        <v>242</v>
      </c>
      <c r="U34" s="97">
        <f t="shared" ref="U34:X35" si="0">U32+U28</f>
        <v>46.528955054064276</v>
      </c>
      <c r="V34" s="97">
        <f t="shared" si="0"/>
        <v>46.528955054064269</v>
      </c>
      <c r="W34" s="97">
        <f t="shared" si="0"/>
        <v>46.528955054064276</v>
      </c>
      <c r="X34" s="97">
        <f t="shared" si="0"/>
        <v>27.744556566351605</v>
      </c>
      <c r="Z34" s="97">
        <f>Z33+Z32</f>
        <v>0</v>
      </c>
      <c r="AE34">
        <f>AE30*AE12</f>
        <v>4408.9987639060573</v>
      </c>
      <c r="AF34" t="s">
        <v>341</v>
      </c>
      <c r="AV34" s="99" t="s">
        <v>303</v>
      </c>
      <c r="AW34">
        <v>0</v>
      </c>
      <c r="AX34">
        <v>0</v>
      </c>
      <c r="AY34">
        <v>0</v>
      </c>
      <c r="AZ34">
        <f>AZ32-AZ33</f>
        <v>82.515380195512449</v>
      </c>
    </row>
    <row r="35" spans="11:58" x14ac:dyDescent="0.25">
      <c r="T35" s="99" t="s">
        <v>243</v>
      </c>
      <c r="U35" s="97">
        <f t="shared" si="0"/>
        <v>112.16748094593574</v>
      </c>
      <c r="V35" s="97">
        <f t="shared" si="0"/>
        <v>112.16748094593572</v>
      </c>
      <c r="W35" s="97">
        <f t="shared" si="0"/>
        <v>112.16748094593574</v>
      </c>
      <c r="X35" s="97">
        <f t="shared" si="0"/>
        <v>66.883879433648389</v>
      </c>
      <c r="AG35" t="s">
        <v>342</v>
      </c>
      <c r="AV35" s="99" t="s">
        <v>322</v>
      </c>
      <c r="AW35">
        <f>AW27+AW32</f>
        <v>455</v>
      </c>
      <c r="AX35">
        <f>AX27+AX32</f>
        <v>90.999999999999972</v>
      </c>
      <c r="AY35">
        <f>AY27+AY32</f>
        <v>455</v>
      </c>
      <c r="AZ35">
        <f>AZ27+AZ32</f>
        <v>544.42687613373391</v>
      </c>
    </row>
    <row r="36" spans="11:58" x14ac:dyDescent="0.25">
      <c r="K36">
        <f>4431-776-200-52-14-3</f>
        <v>3386</v>
      </c>
      <c r="T36" s="99" t="s">
        <v>233</v>
      </c>
      <c r="U36" s="97">
        <f>U35+U34</f>
        <v>158.69643600000001</v>
      </c>
      <c r="V36" s="97">
        <f>V35+V34</f>
        <v>158.69643600000001</v>
      </c>
      <c r="W36" s="97">
        <f>W35+W34</f>
        <v>158.69643600000001</v>
      </c>
      <c r="X36" s="97">
        <f>X35+X34</f>
        <v>94.628435999999994</v>
      </c>
      <c r="AG36" t="s">
        <v>343</v>
      </c>
      <c r="AZ36">
        <f>SUM(AW35:AZ35)</f>
        <v>1545.4268761337339</v>
      </c>
      <c r="BA36" s="59" t="s">
        <v>305</v>
      </c>
    </row>
    <row r="37" spans="11:58" x14ac:dyDescent="0.25">
      <c r="T37" s="99" t="s">
        <v>374</v>
      </c>
      <c r="U37">
        <f>U16+U17+U36</f>
        <v>613.69643599999995</v>
      </c>
      <c r="V37">
        <f>V16+V17+V36</f>
        <v>366.02121599999998</v>
      </c>
      <c r="W37">
        <f>W16+W17+W36</f>
        <v>613.69643599999995</v>
      </c>
      <c r="X37">
        <f>X16+X17+X36</f>
        <v>608.73156599999993</v>
      </c>
      <c r="AE37" s="135">
        <f>AE34/AE33</f>
        <v>0.58789865802906627</v>
      </c>
      <c r="AF37" t="s">
        <v>345</v>
      </c>
    </row>
    <row r="38" spans="11:58" x14ac:dyDescent="0.25">
      <c r="T38" s="99" t="s">
        <v>376</v>
      </c>
      <c r="U38">
        <f>U37*$A$16</f>
        <v>7430.9555692347194</v>
      </c>
      <c r="V38">
        <f>V37*$A$16</f>
        <v>4431.97521436032</v>
      </c>
      <c r="W38">
        <f>W37*$A$16</f>
        <v>7430.9555692347194</v>
      </c>
      <c r="X38" t="s">
        <v>377</v>
      </c>
      <c r="AV38" s="116" t="s">
        <v>522</v>
      </c>
      <c r="AW38" s="111"/>
      <c r="AX38" s="111"/>
      <c r="AY38" s="111"/>
      <c r="AZ38" s="111"/>
      <c r="BA38" s="111"/>
      <c r="BB38" s="111"/>
      <c r="BC38" s="111"/>
      <c r="BD38" s="111"/>
      <c r="BE38" s="111"/>
      <c r="BF38" s="111"/>
    </row>
    <row r="39" spans="11:58" x14ac:dyDescent="0.25">
      <c r="T39" s="99" t="s">
        <v>375</v>
      </c>
      <c r="U39" s="110">
        <f>U38-U24</f>
        <v>-4.4430765280594642E-2</v>
      </c>
      <c r="V39" s="110">
        <f>V38-V24</f>
        <v>0.97521436032002384</v>
      </c>
      <c r="W39" s="110">
        <f>W38-W24</f>
        <v>-4.4430765280594642E-2</v>
      </c>
      <c r="X39" s="110" t="s">
        <v>377</v>
      </c>
      <c r="AE39" s="7" t="s">
        <v>337</v>
      </c>
      <c r="AV39" s="116"/>
      <c r="AW39" s="111"/>
      <c r="AX39" s="111"/>
      <c r="AY39" s="114" t="s">
        <v>311</v>
      </c>
      <c r="AZ39" s="111"/>
      <c r="BA39" s="111"/>
      <c r="BB39" s="111"/>
      <c r="BC39" s="111"/>
      <c r="BD39" s="111"/>
      <c r="BE39" s="111"/>
      <c r="BF39" s="111"/>
    </row>
    <row r="40" spans="11:58" x14ac:dyDescent="0.25">
      <c r="X40">
        <f>SUM(U18:X18)</f>
        <v>1631.4279099999999</v>
      </c>
      <c r="Y40" s="59" t="s">
        <v>276</v>
      </c>
      <c r="AE40">
        <f>AE23-AE3</f>
        <v>151.94929999999999</v>
      </c>
      <c r="AF40" t="s">
        <v>326</v>
      </c>
      <c r="AV40" s="111"/>
      <c r="AW40" s="111"/>
      <c r="AX40" s="111"/>
      <c r="AY40" s="115" t="s">
        <v>295</v>
      </c>
      <c r="AZ40" s="111">
        <f>AE3</f>
        <v>455</v>
      </c>
      <c r="BA40" s="111">
        <f>BA43*AE9</f>
        <v>387.41498706445799</v>
      </c>
      <c r="BB40" s="111">
        <f>AE3</f>
        <v>455</v>
      </c>
      <c r="BC40" s="111">
        <f>AE3</f>
        <v>455</v>
      </c>
      <c r="BD40" s="111"/>
      <c r="BE40" s="111"/>
      <c r="BF40" s="111"/>
    </row>
    <row r="41" spans="11:58" x14ac:dyDescent="0.25">
      <c r="X41">
        <f>X40-X13</f>
        <v>-188.57209000000012</v>
      </c>
      <c r="Y41" s="59" t="s">
        <v>339</v>
      </c>
      <c r="AE41" s="97">
        <f>AE40/A29</f>
        <v>1877.5166499857903</v>
      </c>
      <c r="AF41" s="97" t="s">
        <v>327</v>
      </c>
      <c r="AV41" s="111"/>
      <c r="AW41" s="111"/>
      <c r="AX41" s="111"/>
      <c r="AY41" s="115" t="s">
        <v>294</v>
      </c>
      <c r="AZ41" s="111">
        <v>0</v>
      </c>
      <c r="BA41" s="111">
        <f>AE46</f>
        <v>6.9114959382214733</v>
      </c>
      <c r="BB41" s="111">
        <v>0</v>
      </c>
      <c r="BC41" s="111">
        <v>0</v>
      </c>
      <c r="BD41" s="111" t="s">
        <v>312</v>
      </c>
      <c r="BE41" s="111"/>
      <c r="BF41" s="111"/>
    </row>
    <row r="42" spans="11:58" x14ac:dyDescent="0.25">
      <c r="Z42" s="59" t="s">
        <v>521</v>
      </c>
      <c r="AE42">
        <f>AE41*A28</f>
        <v>40.096245577096539</v>
      </c>
      <c r="AF42" t="s">
        <v>328</v>
      </c>
      <c r="AV42" s="111"/>
      <c r="AW42" s="111"/>
      <c r="AX42" s="111"/>
      <c r="AY42" s="115" t="s">
        <v>313</v>
      </c>
      <c r="AZ42" s="111">
        <f>AZ41*ParameterEstimation650MWPlant!$AD$14</f>
        <v>0</v>
      </c>
      <c r="BA42" s="111">
        <f>BA41*AE47*ParameterEstimation650MWPlant!$AD$14</f>
        <v>66.654285142938264</v>
      </c>
      <c r="BB42" s="111">
        <f>BB41*ParameterEstimation650MWPlant!$AD$14</f>
        <v>0</v>
      </c>
      <c r="BC42" s="111">
        <f>BC41*ParameterEstimation650MWPlant!$AD$14</f>
        <v>0</v>
      </c>
      <c r="BD42" s="111"/>
      <c r="BE42" s="111"/>
      <c r="BF42" s="111"/>
    </row>
    <row r="43" spans="11:58" x14ac:dyDescent="0.25">
      <c r="X43" s="133">
        <f>X41/X13</f>
        <v>-0.10361103846153853</v>
      </c>
      <c r="Y43" s="59" t="s">
        <v>406</v>
      </c>
      <c r="AG43" t="s">
        <v>329</v>
      </c>
      <c r="AV43" s="111"/>
      <c r="AW43" s="111"/>
      <c r="AX43" s="111"/>
      <c r="AY43" s="115" t="s">
        <v>300</v>
      </c>
      <c r="AZ43" s="111">
        <f>$AE$8-AZ41</f>
        <v>46.53</v>
      </c>
      <c r="BA43" s="111">
        <f>$AE$8-BA41</f>
        <v>39.61850406177853</v>
      </c>
      <c r="BB43" s="111">
        <f>$AE$8-BB41</f>
        <v>46.53</v>
      </c>
      <c r="BC43" s="111">
        <f>$AE$8-BC41</f>
        <v>46.53</v>
      </c>
      <c r="BD43" s="111" t="s">
        <v>312</v>
      </c>
      <c r="BE43" s="111"/>
      <c r="BF43" s="111"/>
    </row>
    <row r="44" spans="11:58" x14ac:dyDescent="0.25">
      <c r="T44" s="99" t="s">
        <v>381</v>
      </c>
      <c r="U44">
        <f>U27/U37</f>
        <v>0.25859109926458823</v>
      </c>
      <c r="V44">
        <f>V27/V37</f>
        <v>0.25853265292687294</v>
      </c>
      <c r="W44">
        <f>W27/W37</f>
        <v>0.25859109926458823</v>
      </c>
      <c r="X44" t="s">
        <v>377</v>
      </c>
      <c r="AG44" t="s">
        <v>330</v>
      </c>
      <c r="AV44" s="111"/>
      <c r="AW44" s="111"/>
      <c r="AX44" s="111"/>
      <c r="AY44" s="115" t="s">
        <v>314</v>
      </c>
      <c r="AZ44" s="111">
        <f>AZ43*ParameterEstimation650MWPlant!$AD$14</f>
        <v>112.34024308466051</v>
      </c>
      <c r="BA44" s="111">
        <f>BA43*ParameterEstimation650MWPlant!$AD$14</f>
        <v>95.653393014201811</v>
      </c>
      <c r="BB44" s="111">
        <f>BB43*ParameterEstimation650MWPlant!$AD$14</f>
        <v>112.34024308466051</v>
      </c>
      <c r="BC44" s="111">
        <f>BC43*ParameterEstimation650MWPlant!$AD$14</f>
        <v>112.34024308466051</v>
      </c>
      <c r="BD44" s="111"/>
      <c r="BE44" s="111"/>
      <c r="BF44" s="111"/>
    </row>
    <row r="45" spans="11:58" x14ac:dyDescent="0.25">
      <c r="T45" s="99" t="s">
        <v>382</v>
      </c>
      <c r="U45">
        <f>U28/U37</f>
        <v>7.5817541580222372E-2</v>
      </c>
      <c r="V45">
        <f>V28/V37</f>
        <v>7.5800405423361056E-2</v>
      </c>
      <c r="W45">
        <f>W28/W37</f>
        <v>7.5817541580222372E-2</v>
      </c>
      <c r="X45" s="110" t="s">
        <v>377</v>
      </c>
      <c r="AE45" s="97">
        <f>AE41*(A9/A8)</f>
        <v>11.756270989616313</v>
      </c>
      <c r="AF45" t="s">
        <v>331</v>
      </c>
      <c r="AV45" s="111"/>
      <c r="AW45" s="111"/>
      <c r="AX45" s="111"/>
      <c r="AY45" s="115" t="s">
        <v>316</v>
      </c>
      <c r="AZ45" s="111">
        <f>(AZ41+AZ42)/$A$11</f>
        <v>0</v>
      </c>
      <c r="BA45" s="111">
        <f>(BA41+BA42)/$A$11</f>
        <v>3444.735956225873</v>
      </c>
      <c r="BB45" s="111">
        <f>(BB41+BB42)/$A$11</f>
        <v>0</v>
      </c>
      <c r="BC45" s="111">
        <f>(BC41+BC42)/$A$11</f>
        <v>0</v>
      </c>
      <c r="BD45" s="111"/>
      <c r="BE45" s="111"/>
      <c r="BF45" s="111"/>
    </row>
    <row r="46" spans="11:58" x14ac:dyDescent="0.25">
      <c r="T46" s="99" t="s">
        <v>385</v>
      </c>
      <c r="U46" t="s">
        <v>377</v>
      </c>
      <c r="V46" s="125">
        <f>V30/V32</f>
        <v>0.34833333333333333</v>
      </c>
      <c r="W46" t="s">
        <v>377</v>
      </c>
      <c r="X46" t="s">
        <v>377</v>
      </c>
      <c r="AE46" s="59">
        <f>AE45*AE37</f>
        <v>6.9114959382214733</v>
      </c>
      <c r="AF46" t="s">
        <v>347</v>
      </c>
      <c r="AV46" s="111"/>
      <c r="AW46" s="111"/>
      <c r="AX46" s="111"/>
      <c r="AY46" s="115" t="s">
        <v>317</v>
      </c>
      <c r="AZ46" s="111">
        <f>(AZ44+AZ43)/$A$11</f>
        <v>7439.1385598735951</v>
      </c>
      <c r="BA46" s="111">
        <f>(BA44+BA43)/$A$11</f>
        <v>6334.140151525583</v>
      </c>
      <c r="BB46" s="111">
        <f>(BB44+BB43)/$A$11</f>
        <v>7439.1385598735951</v>
      </c>
      <c r="BC46" s="111">
        <f>(BC44+BC43)/$A$11</f>
        <v>7439.1385598735951</v>
      </c>
      <c r="BD46" s="111"/>
      <c r="BE46" s="111"/>
      <c r="BF46" s="111"/>
    </row>
    <row r="47" spans="11:58" x14ac:dyDescent="0.25">
      <c r="AE47" s="125">
        <f>AE30/AE46</f>
        <v>3.9944198492523491</v>
      </c>
      <c r="AF47" t="s">
        <v>352</v>
      </c>
      <c r="AV47" s="111"/>
      <c r="AW47" s="111"/>
      <c r="AX47" s="111"/>
      <c r="AY47" s="115" t="s">
        <v>320</v>
      </c>
      <c r="AZ47" s="111">
        <v>0</v>
      </c>
      <c r="BA47" s="111">
        <v>0</v>
      </c>
      <c r="BB47" s="111">
        <v>0</v>
      </c>
      <c r="BC47" s="111">
        <f>BA45</f>
        <v>3444.735956225873</v>
      </c>
      <c r="BD47" s="111"/>
      <c r="BE47" s="111"/>
      <c r="BF47" s="111"/>
    </row>
    <row r="48" spans="11:58" x14ac:dyDescent="0.25">
      <c r="AE48" s="59">
        <f>AE47*A15</f>
        <v>39.059953770494495</v>
      </c>
      <c r="AF48" t="s">
        <v>348</v>
      </c>
      <c r="AV48" s="111"/>
      <c r="AW48" s="111"/>
      <c r="AX48" s="111"/>
      <c r="AY48" s="115" t="s">
        <v>319</v>
      </c>
      <c r="AZ48" s="111">
        <f>AZ46*$A$12</f>
        <v>455.49845402106024</v>
      </c>
      <c r="BA48" s="111">
        <f>BA46*$A$12</f>
        <v>387.83940147791145</v>
      </c>
      <c r="BB48" s="111">
        <f>BB46*$A$12</f>
        <v>455.49845402106024</v>
      </c>
      <c r="BC48" s="111">
        <f>BC46*$A$12</f>
        <v>455.49845402106024</v>
      </c>
      <c r="BD48" s="111"/>
      <c r="BE48" s="111"/>
      <c r="BF48" s="111"/>
    </row>
    <row r="49" spans="20:58" x14ac:dyDescent="0.25">
      <c r="T49" s="99" t="s">
        <v>363</v>
      </c>
      <c r="U49">
        <f>U18-U7</f>
        <v>0</v>
      </c>
      <c r="V49">
        <f>V18-V7</f>
        <v>-247.67522</v>
      </c>
      <c r="W49">
        <f>W18-W7</f>
        <v>0</v>
      </c>
      <c r="X49">
        <f>X18-X7</f>
        <v>59.103129999999965</v>
      </c>
      <c r="AE49">
        <f>AE3-(AE48*AE46)</f>
        <v>185.03728816810877</v>
      </c>
      <c r="AF49" t="s">
        <v>350</v>
      </c>
      <c r="AV49" s="111"/>
      <c r="AW49" s="111"/>
      <c r="AX49" s="111"/>
      <c r="AY49" s="115" t="s">
        <v>318</v>
      </c>
      <c r="AZ49" s="111">
        <f>AZ47*$A$29</f>
        <v>0</v>
      </c>
      <c r="BA49" s="111">
        <f>BA47*$A$29</f>
        <v>0</v>
      </c>
      <c r="BB49" s="111">
        <f>BB47*$A$29</f>
        <v>0</v>
      </c>
      <c r="BC49" s="116">
        <f>BC47*$A$29</f>
        <v>278.78592567331611</v>
      </c>
      <c r="BD49" s="111">
        <f>SUM(BA41:BA42)*AE19</f>
        <v>278.78047003829812</v>
      </c>
      <c r="BE49" s="111"/>
      <c r="BF49" s="111"/>
    </row>
    <row r="50" spans="20:58" x14ac:dyDescent="0.25">
      <c r="T50" s="99" t="s">
        <v>364</v>
      </c>
      <c r="U50">
        <v>0</v>
      </c>
      <c r="V50">
        <v>10</v>
      </c>
      <c r="W50">
        <v>0</v>
      </c>
      <c r="X50">
        <v>42</v>
      </c>
      <c r="AF50" t="s">
        <v>351</v>
      </c>
      <c r="AV50" s="111"/>
      <c r="AW50" s="111"/>
      <c r="AX50" s="111"/>
      <c r="AY50" s="111"/>
      <c r="AZ50" s="111">
        <f>SUM(AZ40:AZ44)</f>
        <v>613.8702430846605</v>
      </c>
      <c r="BA50" s="111">
        <f>SUM(BA40:BA44)</f>
        <v>596.25266522159814</v>
      </c>
      <c r="BB50" s="111">
        <f>SUM(BB40:BB44)</f>
        <v>613.8702430846605</v>
      </c>
      <c r="BC50" s="111">
        <f>SUM(BC40:BC44)</f>
        <v>613.8702430846605</v>
      </c>
      <c r="BD50" s="111"/>
      <c r="BE50" s="111"/>
      <c r="BF50" s="111"/>
    </row>
    <row r="51" spans="20:58" x14ac:dyDescent="0.25">
      <c r="T51" s="99" t="s">
        <v>365</v>
      </c>
      <c r="U51">
        <f>U50*U49</f>
        <v>0</v>
      </c>
      <c r="V51">
        <f>V50*V49</f>
        <v>-2476.7521999999999</v>
      </c>
      <c r="W51">
        <f>W50*W49</f>
        <v>0</v>
      </c>
      <c r="X51">
        <f>X50*X49</f>
        <v>2482.3314599999985</v>
      </c>
      <c r="AG51">
        <f>AE10*AE3</f>
        <v>91</v>
      </c>
      <c r="AV51" s="111"/>
      <c r="AW51" s="111"/>
      <c r="AX51" s="111"/>
      <c r="AY51" s="115" t="s">
        <v>296</v>
      </c>
      <c r="AZ51" s="111">
        <v>0</v>
      </c>
      <c r="BA51" s="111">
        <v>0</v>
      </c>
      <c r="BB51" s="111">
        <v>0</v>
      </c>
      <c r="BC51" s="111">
        <f>SUM(BA41:BA42)*AE19</f>
        <v>278.78047003829812</v>
      </c>
      <c r="BD51" s="117"/>
      <c r="BE51" s="111"/>
      <c r="BF51" s="111"/>
    </row>
    <row r="52" spans="20:58" x14ac:dyDescent="0.25">
      <c r="T52" s="99"/>
      <c r="X52" s="112">
        <f>X51+V51</f>
        <v>5.5792599999986123</v>
      </c>
      <c r="Y52" t="s">
        <v>383</v>
      </c>
      <c r="AV52" s="111"/>
      <c r="AW52" s="111"/>
      <c r="AX52" s="111"/>
      <c r="AY52" s="115" t="s">
        <v>302</v>
      </c>
      <c r="AZ52" s="111">
        <v>0</v>
      </c>
      <c r="BA52" s="111">
        <v>0</v>
      </c>
      <c r="BB52" s="111">
        <v>0</v>
      </c>
      <c r="BC52" s="111">
        <f>AE30</f>
        <v>27.607416563658841</v>
      </c>
      <c r="BD52" s="111"/>
      <c r="BE52" s="111"/>
      <c r="BF52" s="111"/>
    </row>
    <row r="53" spans="20:58" x14ac:dyDescent="0.25">
      <c r="AE53" s="7" t="s">
        <v>289</v>
      </c>
      <c r="AV53" s="111"/>
      <c r="AW53" s="111"/>
      <c r="AX53" s="111"/>
      <c r="AY53" s="115" t="s">
        <v>303</v>
      </c>
      <c r="AZ53" s="111">
        <v>0</v>
      </c>
      <c r="BA53" s="111">
        <v>0</v>
      </c>
      <c r="BB53" s="111">
        <v>0</v>
      </c>
      <c r="BC53" s="111">
        <f>BC51-BC52</f>
        <v>251.17305347463929</v>
      </c>
      <c r="BD53" s="111"/>
      <c r="BE53" s="111"/>
      <c r="BF53" s="111"/>
    </row>
    <row r="54" spans="20:58" x14ac:dyDescent="0.25">
      <c r="X54" s="59" t="s">
        <v>277</v>
      </c>
      <c r="AE54" s="59">
        <f>(AE23-AE3)-AE46</f>
        <v>145.03780406177853</v>
      </c>
      <c r="AF54" t="s">
        <v>287</v>
      </c>
      <c r="AV54" s="111"/>
      <c r="AW54" s="111"/>
      <c r="AX54" s="111"/>
      <c r="AY54" s="115" t="s">
        <v>297</v>
      </c>
      <c r="AZ54" s="111">
        <f>AZ51-AZ41+AZ40</f>
        <v>455</v>
      </c>
      <c r="BA54" s="111">
        <f>BA51-BA41+BA40</f>
        <v>380.5034911262365</v>
      </c>
      <c r="BB54" s="111">
        <f>BB51-BB41+BB40</f>
        <v>455</v>
      </c>
      <c r="BC54" s="111">
        <f>BC51-BC41+BC40</f>
        <v>733.78047003829806</v>
      </c>
      <c r="BD54" s="111"/>
      <c r="BE54" s="111"/>
      <c r="BF54" s="111"/>
    </row>
    <row r="55" spans="20:58" x14ac:dyDescent="0.25">
      <c r="X55" s="99" t="s">
        <v>270</v>
      </c>
      <c r="Y55">
        <f>V31</f>
        <v>64.067999999999998</v>
      </c>
      <c r="AE55">
        <f>AE54/AE46</f>
        <v>20.985008941363994</v>
      </c>
      <c r="AF55" t="s">
        <v>353</v>
      </c>
      <c r="AV55" s="111"/>
      <c r="AW55" s="111"/>
      <c r="AX55" s="111"/>
      <c r="AY55" s="111"/>
      <c r="AZ55" s="111"/>
      <c r="BA55" s="111"/>
      <c r="BB55" s="111"/>
      <c r="BC55" s="111">
        <f>SUM(AZ54:BC54)</f>
        <v>2024.2839611645345</v>
      </c>
      <c r="BD55" s="116" t="s">
        <v>305</v>
      </c>
      <c r="BE55" s="111"/>
      <c r="BF55" s="111"/>
    </row>
    <row r="56" spans="20:58" x14ac:dyDescent="0.25">
      <c r="X56" s="99" t="s">
        <v>271</v>
      </c>
      <c r="Y56" s="97">
        <f>Y55*A30</f>
        <v>242.78824872000001</v>
      </c>
      <c r="AV56" s="111"/>
      <c r="AW56" s="111"/>
      <c r="AX56" s="111"/>
      <c r="AY56" s="111"/>
      <c r="AZ56" s="111"/>
      <c r="BA56" s="111"/>
      <c r="BB56" s="111"/>
      <c r="BC56" s="111"/>
      <c r="BD56" s="111"/>
      <c r="BE56" s="111"/>
      <c r="BF56" s="111"/>
    </row>
    <row r="57" spans="20:58" x14ac:dyDescent="0.25">
      <c r="X57" s="99" t="s">
        <v>272</v>
      </c>
      <c r="Y57">
        <f>U16-V16</f>
        <v>247.67522</v>
      </c>
    </row>
    <row r="58" spans="20:58" x14ac:dyDescent="0.25">
      <c r="X58" s="99" t="s">
        <v>274</v>
      </c>
      <c r="Y58">
        <f>W16-X16</f>
        <v>183.68986999999998</v>
      </c>
    </row>
    <row r="59" spans="20:58" x14ac:dyDescent="0.25">
      <c r="X59" s="99" t="s">
        <v>273</v>
      </c>
      <c r="Y59">
        <f>Y56-Y57-Y58</f>
        <v>-188.57684127999997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8"/>
  <sheetViews>
    <sheetView topLeftCell="A12" workbookViewId="0">
      <selection activeCell="A29" sqref="A29"/>
    </sheetView>
  </sheetViews>
  <sheetFormatPr defaultRowHeight="15" x14ac:dyDescent="0.25"/>
  <cols>
    <col min="1" max="1" width="29.28515625" customWidth="1"/>
    <col min="2" max="2" width="26.140625" customWidth="1"/>
    <col min="3" max="5" width="12.5703125" customWidth="1"/>
    <col min="15" max="15" width="19.28515625" customWidth="1"/>
    <col min="19" max="19" width="15.140625" customWidth="1"/>
    <col min="21" max="23" width="15.42578125" customWidth="1"/>
    <col min="24" max="24" width="15.85546875" customWidth="1"/>
    <col min="25" max="25" width="15.42578125" customWidth="1"/>
    <col min="26" max="26" width="13.140625" customWidth="1"/>
    <col min="27" max="27" width="21.28515625" customWidth="1"/>
    <col min="28" max="28" width="13.85546875" customWidth="1"/>
    <col min="29" max="29" width="28.42578125" customWidth="1"/>
    <col min="30" max="30" width="29.42578125" customWidth="1"/>
  </cols>
  <sheetData>
    <row r="1" spans="1:30" x14ac:dyDescent="0.25">
      <c r="A1" s="7" t="s">
        <v>482</v>
      </c>
      <c r="J1" s="23" t="s">
        <v>481</v>
      </c>
      <c r="K1" s="5"/>
      <c r="L1" s="5"/>
      <c r="M1" s="5"/>
      <c r="N1" s="5"/>
      <c r="O1" s="5"/>
      <c r="P1" s="5"/>
      <c r="Q1" s="5"/>
      <c r="R1" s="5"/>
    </row>
    <row r="2" spans="1:30" x14ac:dyDescent="0.25">
      <c r="A2" s="7" t="s">
        <v>570</v>
      </c>
      <c r="J2" s="23" t="s">
        <v>485</v>
      </c>
      <c r="K2" s="5"/>
      <c r="L2" s="5"/>
      <c r="M2" s="5"/>
      <c r="N2" s="5"/>
      <c r="O2" s="5"/>
      <c r="P2" s="5"/>
      <c r="Q2" s="5"/>
      <c r="R2" s="5"/>
    </row>
    <row r="3" spans="1:30" x14ac:dyDescent="0.25">
      <c r="A3" s="126" t="s">
        <v>152</v>
      </c>
      <c r="B3" s="127"/>
      <c r="C3" s="126" t="s">
        <v>160</v>
      </c>
      <c r="D3" s="127"/>
      <c r="E3" s="127"/>
      <c r="F3" s="127"/>
      <c r="G3" s="127"/>
      <c r="H3" s="127"/>
      <c r="I3" s="127"/>
      <c r="J3" s="23" t="s">
        <v>486</v>
      </c>
      <c r="K3" s="5"/>
      <c r="L3" s="5"/>
      <c r="M3" s="5"/>
      <c r="N3" s="5"/>
      <c r="O3" s="5"/>
      <c r="P3" s="5"/>
      <c r="Q3" s="5"/>
      <c r="R3" s="5"/>
      <c r="U3" s="11" t="s">
        <v>202</v>
      </c>
      <c r="V3" s="13"/>
      <c r="W3" s="13"/>
      <c r="X3" s="13"/>
      <c r="Y3" s="13"/>
      <c r="Z3" s="13"/>
      <c r="AA3" s="13"/>
      <c r="AB3" s="13"/>
      <c r="AC3" s="13"/>
      <c r="AD3" s="13"/>
    </row>
    <row r="4" spans="1:30" x14ac:dyDescent="0.25">
      <c r="A4" s="126" t="s">
        <v>153</v>
      </c>
      <c r="B4" s="127"/>
      <c r="C4" s="128" t="s">
        <v>161</v>
      </c>
      <c r="D4" s="127"/>
      <c r="E4" s="127"/>
      <c r="F4" s="127"/>
      <c r="G4" s="127"/>
      <c r="H4" s="127"/>
      <c r="I4" s="127"/>
      <c r="J4" s="5"/>
      <c r="K4" s="5"/>
      <c r="L4" s="5"/>
      <c r="M4" s="21" t="s">
        <v>168</v>
      </c>
      <c r="N4" s="5"/>
      <c r="O4" s="5"/>
      <c r="P4" s="5"/>
      <c r="Q4" s="5"/>
      <c r="R4" s="5"/>
      <c r="U4" s="13" t="s">
        <v>203</v>
      </c>
      <c r="V4" s="13"/>
      <c r="W4" s="13"/>
      <c r="X4" s="13"/>
      <c r="Y4" s="13"/>
      <c r="Z4" s="13"/>
      <c r="AA4" s="13"/>
      <c r="AB4" s="13"/>
      <c r="AC4" s="13"/>
      <c r="AD4" s="13"/>
    </row>
    <row r="5" spans="1:30" x14ac:dyDescent="0.25">
      <c r="A5" s="127" t="s">
        <v>146</v>
      </c>
      <c r="B5" s="127"/>
      <c r="C5" s="127"/>
      <c r="D5" s="127"/>
      <c r="E5" s="127"/>
      <c r="F5" s="127"/>
      <c r="G5" s="127"/>
      <c r="H5" s="127"/>
      <c r="I5" s="127"/>
      <c r="J5" s="5"/>
      <c r="K5" s="5"/>
      <c r="L5" s="5"/>
      <c r="M5" s="5" t="s">
        <v>173</v>
      </c>
      <c r="N5" s="5"/>
      <c r="O5" s="5"/>
      <c r="P5" s="5"/>
      <c r="Q5" s="5"/>
      <c r="R5" s="5"/>
      <c r="U5" s="13" t="s">
        <v>204</v>
      </c>
      <c r="V5" s="13"/>
      <c r="W5" s="13"/>
      <c r="X5" s="13"/>
      <c r="Y5" s="13"/>
      <c r="Z5" s="13"/>
      <c r="AA5" s="13"/>
      <c r="AB5" s="13"/>
      <c r="AC5" s="13"/>
      <c r="AD5" s="13"/>
    </row>
    <row r="6" spans="1:30" x14ac:dyDescent="0.25">
      <c r="A6" s="127" t="s">
        <v>147</v>
      </c>
      <c r="B6" s="127"/>
      <c r="C6" s="126" t="s">
        <v>162</v>
      </c>
      <c r="D6" s="127"/>
      <c r="E6" s="127"/>
      <c r="F6" s="127"/>
      <c r="G6" s="127"/>
      <c r="H6" s="127"/>
      <c r="I6" s="127"/>
      <c r="J6" s="5"/>
      <c r="K6" s="5"/>
      <c r="L6" s="5"/>
      <c r="M6" s="5" t="s">
        <v>170</v>
      </c>
      <c r="N6" s="5" t="s">
        <v>172</v>
      </c>
      <c r="O6" s="5" t="s">
        <v>171</v>
      </c>
      <c r="P6" s="5"/>
      <c r="Q6" s="5"/>
      <c r="R6" s="5"/>
      <c r="U6" s="13" t="s">
        <v>205</v>
      </c>
      <c r="V6" s="13"/>
      <c r="W6" s="13"/>
      <c r="X6" s="13"/>
      <c r="Y6" s="13"/>
      <c r="Z6" s="13"/>
      <c r="AA6" s="13"/>
      <c r="AB6" s="13"/>
      <c r="AC6" s="13"/>
      <c r="AD6" s="13"/>
    </row>
    <row r="7" spans="1:30" x14ac:dyDescent="0.25">
      <c r="A7" s="127" t="s">
        <v>148</v>
      </c>
      <c r="B7" s="127"/>
      <c r="C7" s="127" t="s">
        <v>177</v>
      </c>
      <c r="D7" s="127"/>
      <c r="E7" s="127"/>
      <c r="F7" s="127"/>
      <c r="G7" s="127"/>
      <c r="H7" s="127"/>
      <c r="I7" s="127"/>
      <c r="J7" s="5"/>
      <c r="K7" s="5"/>
      <c r="L7" s="5"/>
      <c r="M7" s="140" t="s">
        <v>169</v>
      </c>
      <c r="N7" s="5">
        <v>84.38</v>
      </c>
      <c r="O7" s="5">
        <v>8.4</v>
      </c>
      <c r="P7" s="5"/>
      <c r="Q7" s="5"/>
      <c r="R7" s="5"/>
      <c r="U7" s="13" t="s">
        <v>206</v>
      </c>
      <c r="V7" s="13"/>
      <c r="W7" s="13"/>
      <c r="X7" s="13"/>
      <c r="Y7" s="13"/>
      <c r="Z7" s="13"/>
      <c r="AA7" s="13"/>
      <c r="AB7" s="13"/>
      <c r="AC7" s="13"/>
      <c r="AD7" s="13"/>
    </row>
    <row r="8" spans="1:30" x14ac:dyDescent="0.25">
      <c r="A8" s="127" t="s">
        <v>149</v>
      </c>
      <c r="B8" s="127"/>
      <c r="C8" s="127" t="s">
        <v>175</v>
      </c>
      <c r="D8" s="127"/>
      <c r="E8" s="127"/>
      <c r="F8" s="127"/>
      <c r="G8" s="127"/>
      <c r="H8" s="127"/>
      <c r="I8" s="127"/>
      <c r="J8" s="5"/>
      <c r="K8" s="5"/>
      <c r="L8" s="5"/>
      <c r="M8" s="140" t="s">
        <v>164</v>
      </c>
      <c r="N8" s="5">
        <v>1523</v>
      </c>
      <c r="O8" s="141">
        <v>0.01</v>
      </c>
      <c r="P8" s="5"/>
      <c r="Q8" s="5"/>
      <c r="R8" s="5"/>
      <c r="U8" s="13" t="s">
        <v>207</v>
      </c>
      <c r="V8" s="13"/>
      <c r="W8" s="13"/>
      <c r="X8" s="13"/>
      <c r="Y8" s="13"/>
      <c r="Z8" s="13"/>
      <c r="AA8" s="13"/>
      <c r="AB8" s="13"/>
      <c r="AC8" s="13"/>
      <c r="AD8" s="13"/>
    </row>
    <row r="9" spans="1:30" x14ac:dyDescent="0.25">
      <c r="A9" s="127" t="s">
        <v>150</v>
      </c>
      <c r="B9" s="127"/>
      <c r="C9" s="127"/>
      <c r="D9" s="127" t="s">
        <v>176</v>
      </c>
      <c r="E9" s="127"/>
      <c r="F9" s="127"/>
      <c r="G9" s="127"/>
      <c r="H9" s="127"/>
      <c r="I9" s="127"/>
      <c r="J9" s="5"/>
      <c r="K9" s="5"/>
      <c r="L9" s="5"/>
      <c r="M9" s="140" t="s">
        <v>165</v>
      </c>
      <c r="N9" s="5">
        <v>9.9009999999999998</v>
      </c>
      <c r="O9" s="5">
        <v>0.9</v>
      </c>
      <c r="P9" s="5"/>
      <c r="Q9" s="5"/>
      <c r="R9" s="5"/>
      <c r="U9" s="13"/>
      <c r="V9" s="13"/>
      <c r="W9" s="13"/>
      <c r="X9" s="13"/>
      <c r="Y9" s="13"/>
      <c r="Z9" s="13"/>
      <c r="AA9" s="13"/>
      <c r="AB9" s="13"/>
      <c r="AC9" s="13"/>
      <c r="AD9" s="13"/>
    </row>
    <row r="10" spans="1:30" x14ac:dyDescent="0.25">
      <c r="A10" s="127" t="s">
        <v>151</v>
      </c>
      <c r="B10" s="127"/>
      <c r="C10" s="127"/>
      <c r="D10" s="127"/>
      <c r="E10" s="127"/>
      <c r="F10" s="127"/>
      <c r="G10" s="127"/>
      <c r="H10" s="127"/>
      <c r="I10" s="127"/>
      <c r="J10" s="5"/>
      <c r="K10" s="5"/>
      <c r="L10" s="5"/>
      <c r="M10" s="141"/>
      <c r="N10" s="5"/>
      <c r="O10" s="5"/>
      <c r="P10" s="5"/>
      <c r="Q10" s="5"/>
      <c r="R10" s="5"/>
      <c r="U10" s="13" t="s">
        <v>208</v>
      </c>
      <c r="V10" s="13"/>
      <c r="W10" s="13"/>
      <c r="X10" s="13"/>
      <c r="Y10" s="13"/>
      <c r="Z10" s="13"/>
      <c r="AA10" s="13"/>
      <c r="AB10" s="13"/>
      <c r="AC10" s="13"/>
      <c r="AD10" s="13"/>
    </row>
    <row r="11" spans="1:30" x14ac:dyDescent="0.25">
      <c r="A11" s="128" t="s">
        <v>576</v>
      </c>
      <c r="B11" s="127"/>
      <c r="C11" s="127"/>
      <c r="D11" s="127"/>
      <c r="E11" s="127"/>
      <c r="F11" s="127"/>
      <c r="G11" s="127"/>
      <c r="H11" s="127"/>
      <c r="I11" s="127"/>
      <c r="J11" s="5"/>
      <c r="K11" s="5"/>
      <c r="L11" s="5"/>
      <c r="M11" s="5" t="s">
        <v>174</v>
      </c>
      <c r="N11" s="5"/>
      <c r="O11" s="5"/>
      <c r="P11" s="5"/>
      <c r="Q11" s="5"/>
      <c r="R11" s="5"/>
      <c r="U11" s="13"/>
      <c r="V11" s="13"/>
      <c r="W11" s="13"/>
      <c r="X11" s="13"/>
      <c r="Y11" s="13"/>
      <c r="Z11" s="13"/>
      <c r="AA11" s="13"/>
      <c r="AB11" s="13"/>
      <c r="AC11" s="13"/>
      <c r="AD11" s="13"/>
    </row>
    <row r="12" spans="1:30" s="9" customFormat="1" ht="45" x14ac:dyDescent="0.25">
      <c r="A12" s="126" t="s">
        <v>154</v>
      </c>
      <c r="B12" s="129"/>
      <c r="C12" s="129"/>
      <c r="D12" s="129"/>
      <c r="E12" s="129"/>
      <c r="F12" s="129"/>
      <c r="G12" s="129"/>
      <c r="H12" s="129"/>
      <c r="I12" s="129"/>
      <c r="J12" s="142"/>
      <c r="K12" s="142"/>
      <c r="L12" s="142"/>
      <c r="M12" s="142" t="s">
        <v>170</v>
      </c>
      <c r="N12" s="142" t="s">
        <v>172</v>
      </c>
      <c r="O12" s="142" t="s">
        <v>171</v>
      </c>
      <c r="P12" s="142"/>
      <c r="Q12" s="142"/>
      <c r="R12" s="142"/>
      <c r="U12" s="32" t="s">
        <v>216</v>
      </c>
      <c r="V12" s="32" t="s">
        <v>217</v>
      </c>
      <c r="W12" s="32" t="s">
        <v>209</v>
      </c>
      <c r="X12" s="32" t="s">
        <v>210</v>
      </c>
      <c r="Y12" s="32" t="s">
        <v>211</v>
      </c>
      <c r="Z12" s="32" t="s">
        <v>212</v>
      </c>
      <c r="AA12" s="32" t="s">
        <v>213</v>
      </c>
      <c r="AB12" s="32" t="s">
        <v>215</v>
      </c>
      <c r="AC12" s="32" t="s">
        <v>214</v>
      </c>
      <c r="AD12" s="143" t="s">
        <v>218</v>
      </c>
    </row>
    <row r="13" spans="1:30" x14ac:dyDescent="0.25">
      <c r="A13" s="129" t="s">
        <v>158</v>
      </c>
      <c r="B13" s="127"/>
      <c r="C13" s="127"/>
      <c r="D13" s="127"/>
      <c r="E13" s="127"/>
      <c r="F13" s="127"/>
      <c r="G13" s="127"/>
      <c r="H13" s="127"/>
      <c r="I13" s="127"/>
      <c r="J13" s="5"/>
      <c r="K13" s="5"/>
      <c r="L13" s="5"/>
      <c r="M13" s="140" t="s">
        <v>169</v>
      </c>
      <c r="N13" s="5">
        <v>84.38</v>
      </c>
      <c r="O13" s="5">
        <v>8.4</v>
      </c>
      <c r="P13" s="5"/>
      <c r="Q13" s="5"/>
      <c r="R13" s="5"/>
      <c r="U13" s="13">
        <f>C22</f>
        <v>650</v>
      </c>
      <c r="V13" s="13">
        <f>D22</f>
        <v>612.1</v>
      </c>
      <c r="W13" s="13">
        <f>B22</f>
        <v>228.6</v>
      </c>
      <c r="X13" s="13">
        <f>B23</f>
        <v>228.6</v>
      </c>
      <c r="Y13" s="13">
        <f>C23</f>
        <v>528.20000000000005</v>
      </c>
      <c r="Z13" s="13">
        <f>D23</f>
        <v>434.4</v>
      </c>
      <c r="AA13" s="13">
        <f>E23</f>
        <v>52.29</v>
      </c>
      <c r="AB13" s="13">
        <f>V13-Z13</f>
        <v>177.70000000000005</v>
      </c>
      <c r="AC13" s="13">
        <f>AB13-AA13</f>
        <v>125.41000000000005</v>
      </c>
      <c r="AD13" s="14">
        <f>AC13/AA13</f>
        <v>2.3983553260661705</v>
      </c>
    </row>
    <row r="14" spans="1:30" x14ac:dyDescent="0.25">
      <c r="A14" s="127" t="s">
        <v>159</v>
      </c>
      <c r="B14" s="127"/>
      <c r="C14" s="127"/>
      <c r="D14" s="127"/>
      <c r="E14" s="127"/>
      <c r="F14" s="127"/>
      <c r="G14" s="127"/>
      <c r="H14" s="127"/>
      <c r="I14" s="127"/>
      <c r="J14" s="5"/>
      <c r="K14" s="5"/>
      <c r="L14" s="5"/>
      <c r="M14" s="140" t="s">
        <v>164</v>
      </c>
      <c r="N14" s="5">
        <v>1514</v>
      </c>
      <c r="O14" s="141">
        <v>0.01</v>
      </c>
      <c r="P14" s="5"/>
      <c r="Q14" s="5"/>
      <c r="R14" s="5"/>
      <c r="U14" s="13"/>
      <c r="V14" s="13"/>
      <c r="W14" s="13"/>
      <c r="X14" s="13"/>
      <c r="Y14" s="13"/>
      <c r="Z14" s="13"/>
      <c r="AA14" s="13"/>
      <c r="AB14" s="13"/>
      <c r="AC14" s="13"/>
      <c r="AD14" s="14"/>
    </row>
    <row r="15" spans="1:30" s="9" customFormat="1" x14ac:dyDescent="0.25">
      <c r="A15" s="129"/>
      <c r="B15" s="129"/>
      <c r="C15" s="129"/>
      <c r="D15" s="129"/>
      <c r="E15" s="129"/>
      <c r="F15" s="129"/>
      <c r="G15" s="129"/>
      <c r="H15" s="129"/>
      <c r="I15" s="129"/>
      <c r="J15" s="5"/>
      <c r="K15" s="5"/>
      <c r="L15" s="5"/>
      <c r="M15" s="140" t="s">
        <v>165</v>
      </c>
      <c r="N15" s="5">
        <v>7.9279999999999999</v>
      </c>
      <c r="O15" s="5">
        <v>0.8</v>
      </c>
      <c r="P15" s="5"/>
      <c r="Q15" s="5"/>
      <c r="R15" s="5"/>
      <c r="U15" s="32"/>
      <c r="V15" s="32"/>
      <c r="W15" s="13"/>
      <c r="X15" s="32"/>
      <c r="Y15" s="32"/>
      <c r="Z15" s="32"/>
      <c r="AA15" s="32"/>
      <c r="AB15" s="13"/>
      <c r="AC15" s="13"/>
      <c r="AD15" s="14"/>
    </row>
    <row r="16" spans="1:30" ht="60" x14ac:dyDescent="0.25">
      <c r="A16" s="130" t="s">
        <v>155</v>
      </c>
      <c r="B16" s="130" t="s">
        <v>156</v>
      </c>
      <c r="C16" s="130" t="s">
        <v>33</v>
      </c>
      <c r="D16" s="130" t="s">
        <v>34</v>
      </c>
      <c r="E16" s="130" t="s">
        <v>39</v>
      </c>
      <c r="F16" s="130" t="s">
        <v>127</v>
      </c>
      <c r="G16" s="130"/>
      <c r="H16" s="127"/>
      <c r="I16" s="127"/>
      <c r="J16" s="5"/>
      <c r="K16" s="5"/>
      <c r="L16" s="5"/>
      <c r="M16" s="142"/>
      <c r="N16" s="142"/>
      <c r="O16" s="142"/>
      <c r="P16" s="5"/>
      <c r="Q16" s="5"/>
      <c r="R16" s="142"/>
      <c r="U16" s="13"/>
      <c r="V16" s="13"/>
      <c r="W16" s="13"/>
      <c r="X16" s="13"/>
      <c r="Y16" s="13"/>
      <c r="Z16" s="13"/>
      <c r="AA16" s="13"/>
      <c r="AB16" s="13"/>
      <c r="AC16" s="11" t="s">
        <v>484</v>
      </c>
      <c r="AD16" s="22">
        <f>AVERAGE(AD13:AD15)</f>
        <v>2.3983553260661705</v>
      </c>
    </row>
    <row r="17" spans="1:15" x14ac:dyDescent="0.25">
      <c r="A17" s="179" t="s">
        <v>178</v>
      </c>
      <c r="B17" s="179"/>
      <c r="C17" s="179"/>
      <c r="D17" s="179"/>
      <c r="E17" s="179"/>
      <c r="F17" s="127"/>
      <c r="G17" s="127"/>
      <c r="H17" s="127"/>
      <c r="I17" s="127"/>
      <c r="J17" s="127"/>
      <c r="K17" s="127"/>
      <c r="L17" s="59"/>
    </row>
    <row r="18" spans="1:15" x14ac:dyDescent="0.25">
      <c r="A18" s="127" t="s">
        <v>157</v>
      </c>
      <c r="B18" s="127"/>
      <c r="C18" s="127"/>
      <c r="D18" s="127"/>
      <c r="E18" s="127"/>
      <c r="F18" s="127"/>
      <c r="G18" s="127"/>
      <c r="H18" s="127" t="s">
        <v>488</v>
      </c>
      <c r="I18" s="127"/>
      <c r="J18" s="127"/>
      <c r="K18" s="127"/>
      <c r="L18" s="59"/>
    </row>
    <row r="19" spans="1:15" x14ac:dyDescent="0.25">
      <c r="A19" s="127" t="s">
        <v>179</v>
      </c>
      <c r="B19" s="127"/>
      <c r="C19" s="127"/>
      <c r="D19" s="127"/>
      <c r="E19" s="127"/>
      <c r="F19" s="127"/>
      <c r="G19" s="127"/>
      <c r="H19" s="22"/>
      <c r="I19" s="127"/>
      <c r="J19" s="127"/>
      <c r="K19" s="127"/>
    </row>
    <row r="20" spans="1:15" x14ac:dyDescent="0.25">
      <c r="A20" s="127" t="s">
        <v>487</v>
      </c>
      <c r="B20" s="127"/>
      <c r="C20" s="127"/>
      <c r="D20" s="127"/>
      <c r="E20" s="127"/>
      <c r="F20" s="127"/>
      <c r="G20" s="127"/>
      <c r="H20" s="127"/>
      <c r="I20" s="127"/>
      <c r="J20" s="127"/>
      <c r="K20" s="127"/>
    </row>
    <row r="21" spans="1:15" x14ac:dyDescent="0.25">
      <c r="A21" s="179" t="s">
        <v>181</v>
      </c>
      <c r="B21" s="179"/>
      <c r="C21" s="179"/>
      <c r="D21" s="179"/>
      <c r="E21" s="179"/>
      <c r="F21" s="127"/>
      <c r="G21" s="127"/>
      <c r="H21" s="127"/>
      <c r="I21" s="127"/>
      <c r="J21" s="127"/>
      <c r="K21" s="127"/>
    </row>
    <row r="22" spans="1:15" x14ac:dyDescent="0.25">
      <c r="A22" s="127" t="s">
        <v>157</v>
      </c>
      <c r="B22" s="127">
        <v>228.6</v>
      </c>
      <c r="C22" s="127">
        <v>650</v>
      </c>
      <c r="D22" s="127">
        <v>612.1</v>
      </c>
      <c r="E22" s="127">
        <v>0</v>
      </c>
      <c r="F22" s="127">
        <v>0</v>
      </c>
      <c r="G22" s="127"/>
      <c r="H22" s="127" t="s">
        <v>488</v>
      </c>
      <c r="I22" s="127"/>
      <c r="J22" s="127"/>
      <c r="K22" s="127"/>
    </row>
    <row r="23" spans="1:15" x14ac:dyDescent="0.25">
      <c r="A23" s="127" t="s">
        <v>179</v>
      </c>
      <c r="B23" s="127">
        <v>228.6</v>
      </c>
      <c r="C23" s="127">
        <v>528.20000000000005</v>
      </c>
      <c r="D23" s="127">
        <v>434.4</v>
      </c>
      <c r="E23" s="127">
        <v>52.29</v>
      </c>
      <c r="F23" s="127">
        <v>8351</v>
      </c>
      <c r="G23" s="127"/>
      <c r="H23" s="22">
        <f>(D22-D23)/D22</f>
        <v>0.29031204051625559</v>
      </c>
      <c r="I23" s="127"/>
      <c r="J23" s="127"/>
      <c r="K23" s="127">
        <f>B22/D22</f>
        <v>0.37346838751837935</v>
      </c>
      <c r="L23">
        <v>13080</v>
      </c>
      <c r="M23" t="s">
        <v>579</v>
      </c>
      <c r="O23" t="s">
        <v>581</v>
      </c>
    </row>
    <row r="24" spans="1:15" x14ac:dyDescent="0.25">
      <c r="A24" s="127" t="s">
        <v>487</v>
      </c>
      <c r="B24" s="127">
        <v>228.6</v>
      </c>
      <c r="C24" s="127">
        <v>650</v>
      </c>
      <c r="D24" s="127">
        <v>597.79999999999995</v>
      </c>
      <c r="E24" s="127">
        <v>5.85</v>
      </c>
      <c r="F24" s="127">
        <v>8348</v>
      </c>
      <c r="G24" s="127"/>
      <c r="H24" s="127"/>
      <c r="I24" s="127"/>
      <c r="J24" s="127"/>
      <c r="K24" s="127"/>
      <c r="L24">
        <f>K23*L23/1000000*2000</f>
        <v>9.7699330174808026</v>
      </c>
      <c r="M24" t="s">
        <v>580</v>
      </c>
    </row>
    <row r="25" spans="1:15" x14ac:dyDescent="0.25">
      <c r="A25" s="127"/>
      <c r="B25" s="127"/>
      <c r="C25" s="127"/>
      <c r="D25" s="127"/>
      <c r="E25" s="127"/>
      <c r="F25" s="127"/>
      <c r="G25" s="127"/>
      <c r="H25" s="127"/>
      <c r="I25" s="127"/>
      <c r="J25" s="127"/>
      <c r="K25" s="127"/>
    </row>
    <row r="26" spans="1:15" x14ac:dyDescent="0.25">
      <c r="A26" s="126" t="s">
        <v>182</v>
      </c>
      <c r="B26" s="127"/>
      <c r="C26" s="127"/>
      <c r="D26" s="127"/>
      <c r="E26" s="127"/>
      <c r="F26" s="127"/>
      <c r="G26" s="127"/>
      <c r="H26" s="127"/>
      <c r="I26" s="127"/>
      <c r="J26" s="127"/>
      <c r="K26" s="127">
        <f>B23/D23</f>
        <v>0.52624309392265189</v>
      </c>
    </row>
    <row r="27" spans="1:15" x14ac:dyDescent="0.25">
      <c r="A27" s="127" t="s">
        <v>183</v>
      </c>
      <c r="B27" s="127" t="s">
        <v>184</v>
      </c>
      <c r="C27" s="127" t="s">
        <v>185</v>
      </c>
      <c r="D27" s="127"/>
      <c r="E27" s="127"/>
      <c r="F27" s="127"/>
      <c r="G27" s="127"/>
      <c r="H27" s="127"/>
      <c r="I27" s="127"/>
      <c r="J27" s="127"/>
      <c r="K27" s="127"/>
      <c r="L27">
        <f>K26*L23/1000000*2000</f>
        <v>13.766519337016573</v>
      </c>
      <c r="M27" t="s">
        <v>580</v>
      </c>
    </row>
    <row r="28" spans="1:15" x14ac:dyDescent="0.25">
      <c r="A28" s="131" t="s">
        <v>178</v>
      </c>
      <c r="B28" s="127"/>
      <c r="C28" s="127"/>
      <c r="D28" s="127"/>
      <c r="E28" s="127"/>
      <c r="F28" s="127"/>
      <c r="G28" s="127"/>
      <c r="H28" s="127"/>
      <c r="I28" s="127"/>
      <c r="J28" s="127"/>
      <c r="K28" s="127"/>
      <c r="L28">
        <f>(L27-L24)/L24</f>
        <v>0.40906998158379382</v>
      </c>
    </row>
    <row r="29" spans="1:15" x14ac:dyDescent="0.25">
      <c r="A29" s="132" t="s">
        <v>480</v>
      </c>
      <c r="B29" s="127"/>
      <c r="C29" s="127"/>
      <c r="D29" s="127"/>
      <c r="E29" s="127"/>
      <c r="F29" s="127"/>
      <c r="G29" s="127"/>
      <c r="H29" s="127"/>
      <c r="I29" s="127"/>
      <c r="J29" s="127"/>
      <c r="K29" s="127"/>
      <c r="L29">
        <f>1.4*L24</f>
        <v>13.677906224473123</v>
      </c>
    </row>
    <row r="30" spans="1:15" x14ac:dyDescent="0.25">
      <c r="A30" s="127">
        <f>D18-D19</f>
        <v>0</v>
      </c>
      <c r="B30" s="127" t="s">
        <v>41</v>
      </c>
      <c r="C30" s="127" t="s">
        <v>197</v>
      </c>
      <c r="D30" s="127"/>
      <c r="E30" s="127"/>
      <c r="F30" s="127"/>
      <c r="G30" s="127"/>
      <c r="H30" s="127"/>
      <c r="I30" s="127"/>
      <c r="J30" s="127"/>
      <c r="K30" s="127"/>
    </row>
    <row r="31" spans="1:15" x14ac:dyDescent="0.25">
      <c r="A31" s="127" t="e">
        <f>F19/A30</f>
        <v>#DIV/0!</v>
      </c>
      <c r="B31" s="127" t="s">
        <v>135</v>
      </c>
      <c r="C31" s="127" t="s">
        <v>186</v>
      </c>
      <c r="D31" s="127"/>
      <c r="E31" s="127"/>
      <c r="F31" s="127"/>
      <c r="G31" s="127"/>
      <c r="H31" s="127"/>
      <c r="I31" s="127"/>
      <c r="J31" s="127"/>
      <c r="K31" s="127"/>
    </row>
    <row r="32" spans="1:15" x14ac:dyDescent="0.25">
      <c r="A32" s="127"/>
      <c r="B32" s="127"/>
      <c r="C32" s="127"/>
      <c r="D32" s="127" t="s">
        <v>187</v>
      </c>
      <c r="E32" s="127"/>
      <c r="F32" s="127"/>
      <c r="G32" s="127"/>
      <c r="H32" s="127"/>
      <c r="I32" s="127"/>
      <c r="J32" s="127"/>
      <c r="K32" s="127"/>
    </row>
    <row r="33" spans="1:15" x14ac:dyDescent="0.25">
      <c r="A33" s="127" t="e">
        <f>D19/F19</f>
        <v>#DIV/0!</v>
      </c>
      <c r="B33" s="127" t="s">
        <v>142</v>
      </c>
      <c r="C33" s="127" t="s">
        <v>193</v>
      </c>
      <c r="D33" s="127"/>
      <c r="E33" s="127"/>
      <c r="F33" s="127"/>
      <c r="G33" s="127"/>
      <c r="H33" s="127"/>
      <c r="I33" s="127"/>
      <c r="J33" s="127"/>
      <c r="K33" s="127"/>
    </row>
    <row r="34" spans="1:15" x14ac:dyDescent="0.25">
      <c r="A34" s="22" t="e">
        <f>D19/A30</f>
        <v>#DIV/0!</v>
      </c>
      <c r="B34" s="127" t="s">
        <v>139</v>
      </c>
      <c r="C34" s="127" t="s">
        <v>403</v>
      </c>
      <c r="D34" s="127"/>
      <c r="E34" s="127"/>
      <c r="F34" s="127"/>
      <c r="G34" s="127"/>
      <c r="H34" s="127"/>
      <c r="I34" s="127"/>
      <c r="J34" s="127"/>
      <c r="K34" s="127"/>
    </row>
    <row r="35" spans="1:15" ht="15" customHeight="1" x14ac:dyDescent="0.25">
      <c r="A35" s="127"/>
      <c r="B35" s="127"/>
      <c r="C35" s="127"/>
      <c r="D35" s="127" t="s">
        <v>189</v>
      </c>
      <c r="E35" s="127"/>
      <c r="F35" s="127"/>
      <c r="G35" s="127"/>
      <c r="H35" s="127"/>
      <c r="I35" s="127"/>
      <c r="J35" s="127"/>
      <c r="K35" s="127"/>
      <c r="L35" s="10"/>
    </row>
    <row r="36" spans="1:15" ht="15" customHeight="1" x14ac:dyDescent="0.25">
      <c r="A36" s="127">
        <f>A30-E19</f>
        <v>0</v>
      </c>
      <c r="B36" s="127" t="s">
        <v>199</v>
      </c>
      <c r="C36" s="127" t="s">
        <v>200</v>
      </c>
      <c r="D36" s="127"/>
      <c r="E36" s="127"/>
      <c r="F36" s="127"/>
      <c r="G36" s="127"/>
      <c r="H36" s="127"/>
      <c r="I36" s="127"/>
      <c r="J36" s="127"/>
      <c r="K36" s="127"/>
      <c r="L36" s="101"/>
      <c r="M36" s="102"/>
      <c r="N36" s="102"/>
      <c r="O36" s="10"/>
    </row>
    <row r="37" spans="1:15" ht="15" customHeight="1" x14ac:dyDescent="0.25">
      <c r="A37" s="127"/>
      <c r="B37" s="127"/>
      <c r="C37" s="127"/>
      <c r="D37" s="127" t="s">
        <v>198</v>
      </c>
      <c r="E37" s="127"/>
      <c r="F37" s="127"/>
      <c r="G37" s="127"/>
      <c r="H37" s="127"/>
      <c r="I37" s="127"/>
      <c r="J37" s="127"/>
      <c r="K37" s="127"/>
      <c r="L37" s="101"/>
      <c r="M37" s="102"/>
      <c r="N37" s="102"/>
      <c r="O37" s="10"/>
    </row>
    <row r="38" spans="1:15" ht="15" customHeight="1" x14ac:dyDescent="0.25">
      <c r="A38" s="127" t="e">
        <f>F19/A36</f>
        <v>#DIV/0!</v>
      </c>
      <c r="B38" s="127" t="s">
        <v>135</v>
      </c>
      <c r="C38" s="127" t="s">
        <v>201</v>
      </c>
      <c r="D38" s="127"/>
      <c r="E38" s="127"/>
      <c r="F38" s="127"/>
      <c r="G38" s="127"/>
      <c r="H38" s="127"/>
      <c r="I38" s="127"/>
      <c r="J38" s="127"/>
      <c r="K38" s="127"/>
      <c r="L38" s="101"/>
      <c r="M38" s="102"/>
      <c r="N38" s="102"/>
      <c r="O38" s="10"/>
    </row>
    <row r="39" spans="1:15" ht="15" customHeight="1" x14ac:dyDescent="0.25">
      <c r="A39" s="127"/>
      <c r="B39" s="127"/>
      <c r="C39" s="127"/>
      <c r="D39" s="127"/>
      <c r="E39" s="127"/>
      <c r="F39" s="127"/>
      <c r="G39" s="127"/>
      <c r="H39" s="127"/>
      <c r="I39" s="127"/>
      <c r="J39" s="127"/>
      <c r="K39" s="127"/>
      <c r="L39" s="101"/>
      <c r="M39" s="102"/>
      <c r="N39" s="102"/>
      <c r="O39" s="10"/>
    </row>
    <row r="40" spans="1:15" ht="15" customHeight="1" x14ac:dyDescent="0.25">
      <c r="A40" s="132" t="s">
        <v>479</v>
      </c>
      <c r="B40" s="127"/>
      <c r="C40" s="127"/>
      <c r="D40" s="127"/>
      <c r="E40" s="127"/>
      <c r="F40" s="127"/>
      <c r="G40" s="127"/>
      <c r="H40" s="127"/>
      <c r="I40" s="127"/>
      <c r="J40" s="127"/>
      <c r="K40" s="127"/>
      <c r="L40" s="101"/>
      <c r="M40" s="102"/>
      <c r="N40" s="102"/>
      <c r="O40" s="10"/>
    </row>
    <row r="41" spans="1:15" ht="15" customHeight="1" x14ac:dyDescent="0.25">
      <c r="A41" s="127" t="e">
        <f>D20/F20</f>
        <v>#DIV/0!</v>
      </c>
      <c r="B41" s="127" t="s">
        <v>142</v>
      </c>
      <c r="C41" s="127" t="s">
        <v>456</v>
      </c>
      <c r="D41" s="127"/>
      <c r="E41" s="127"/>
      <c r="F41" s="127"/>
      <c r="G41" s="127"/>
      <c r="H41" s="127"/>
      <c r="I41" s="127"/>
      <c r="J41" s="127"/>
      <c r="K41" s="127"/>
      <c r="L41" s="101"/>
      <c r="M41" s="102"/>
      <c r="N41" s="102"/>
      <c r="O41" s="10"/>
    </row>
    <row r="42" spans="1:15" x14ac:dyDescent="0.25">
      <c r="A42" s="127"/>
      <c r="B42" s="127"/>
      <c r="C42" s="127"/>
      <c r="D42" s="127" t="s">
        <v>196</v>
      </c>
      <c r="E42" s="127"/>
      <c r="F42" s="127"/>
      <c r="G42" s="127"/>
      <c r="H42" s="127"/>
      <c r="I42" s="127"/>
      <c r="J42" s="127"/>
      <c r="K42" s="127"/>
      <c r="L42" s="103"/>
      <c r="M42" s="10"/>
      <c r="N42" s="10"/>
      <c r="O42" s="10"/>
    </row>
    <row r="43" spans="1:15" x14ac:dyDescent="0.25">
      <c r="A43" s="22" t="e">
        <f>A41*A31</f>
        <v>#DIV/0!</v>
      </c>
      <c r="B43" s="127" t="s">
        <v>139</v>
      </c>
      <c r="C43" s="127" t="s">
        <v>455</v>
      </c>
      <c r="D43" s="127"/>
      <c r="E43" s="127"/>
      <c r="F43" s="127"/>
      <c r="G43" s="127"/>
      <c r="H43" s="127"/>
      <c r="I43" s="127"/>
      <c r="J43" s="127"/>
      <c r="K43" s="127"/>
      <c r="L43" s="103"/>
      <c r="M43" s="10"/>
      <c r="N43" s="10"/>
      <c r="O43" s="10"/>
    </row>
    <row r="44" spans="1:15" x14ac:dyDescent="0.25">
      <c r="A44" s="127"/>
      <c r="B44" s="127"/>
      <c r="C44" s="127"/>
      <c r="D44" s="127" t="s">
        <v>404</v>
      </c>
      <c r="E44" s="127"/>
      <c r="F44" s="127"/>
      <c r="G44" s="127"/>
      <c r="H44" s="127"/>
      <c r="I44" s="127"/>
      <c r="J44" s="127"/>
      <c r="K44" s="127"/>
      <c r="L44" s="102"/>
      <c r="M44" s="10"/>
      <c r="N44" s="10"/>
      <c r="O44" s="10"/>
    </row>
    <row r="45" spans="1:15" x14ac:dyDescent="0.25">
      <c r="A45" s="127" t="e">
        <f>B20/D20</f>
        <v>#DIV/0!</v>
      </c>
      <c r="B45" s="127" t="s">
        <v>135</v>
      </c>
      <c r="C45" s="127" t="s">
        <v>500</v>
      </c>
      <c r="D45" s="127"/>
      <c r="E45" s="127"/>
      <c r="F45" s="127"/>
      <c r="G45" s="127"/>
      <c r="H45" s="127"/>
      <c r="I45" s="127"/>
      <c r="J45" s="127"/>
      <c r="K45" s="127"/>
      <c r="L45" s="102"/>
      <c r="M45" s="10"/>
      <c r="N45" s="10"/>
      <c r="O45" s="10"/>
    </row>
    <row r="46" spans="1:15" x14ac:dyDescent="0.25">
      <c r="A46" s="127"/>
      <c r="B46" s="127"/>
      <c r="C46" s="127"/>
      <c r="D46" s="127"/>
      <c r="E46" s="127"/>
      <c r="F46" s="127"/>
      <c r="G46" s="127"/>
      <c r="H46" s="127"/>
      <c r="I46" s="127"/>
      <c r="J46" s="127"/>
      <c r="K46" s="127"/>
      <c r="L46" s="102"/>
      <c r="M46" s="10"/>
      <c r="N46" s="10"/>
      <c r="O46" s="10"/>
    </row>
    <row r="47" spans="1:15" x14ac:dyDescent="0.25">
      <c r="A47" s="132" t="s">
        <v>478</v>
      </c>
      <c r="B47" s="127"/>
      <c r="C47" s="127"/>
      <c r="D47" s="127"/>
      <c r="E47" s="127"/>
      <c r="F47" s="127"/>
      <c r="G47" s="127"/>
      <c r="H47" s="127"/>
      <c r="I47" s="127"/>
      <c r="J47" s="127"/>
      <c r="K47" s="127"/>
      <c r="L47" s="10"/>
      <c r="M47" s="10"/>
      <c r="N47" s="10"/>
      <c r="O47" s="10"/>
    </row>
    <row r="48" spans="1:15" x14ac:dyDescent="0.25">
      <c r="A48" s="127" t="e">
        <f>B19/(A36+E19+D19)</f>
        <v>#DIV/0!</v>
      </c>
      <c r="B48" s="129" t="s">
        <v>458</v>
      </c>
      <c r="C48" s="127" t="s">
        <v>476</v>
      </c>
      <c r="D48" s="127"/>
      <c r="E48" s="127"/>
      <c r="F48" s="127"/>
      <c r="G48" s="127"/>
      <c r="H48" s="127"/>
      <c r="I48" s="127"/>
      <c r="J48" s="127"/>
      <c r="K48" s="127"/>
      <c r="L48" s="10"/>
      <c r="M48" s="10"/>
      <c r="N48" s="10"/>
      <c r="O48" s="10"/>
    </row>
    <row r="49" spans="1:15" x14ac:dyDescent="0.25">
      <c r="A49" s="127"/>
      <c r="B49" s="144"/>
      <c r="C49" s="144" t="s">
        <v>477</v>
      </c>
      <c r="D49" s="127"/>
      <c r="E49" s="127"/>
      <c r="F49" s="127"/>
      <c r="G49" s="127"/>
      <c r="H49" s="127"/>
      <c r="I49" s="127"/>
      <c r="J49" s="127"/>
      <c r="K49" s="127"/>
      <c r="L49" s="10"/>
      <c r="M49" s="10"/>
      <c r="N49" s="10"/>
      <c r="O49" s="10"/>
    </row>
    <row r="50" spans="1:15" x14ac:dyDescent="0.25">
      <c r="A50" s="137" t="s">
        <v>462</v>
      </c>
      <c r="B50" s="144"/>
      <c r="C50" s="144"/>
      <c r="D50" s="127"/>
      <c r="E50" s="127"/>
      <c r="F50" s="127"/>
      <c r="G50" s="127"/>
      <c r="H50" s="127"/>
      <c r="I50" s="127"/>
      <c r="J50" s="127"/>
      <c r="K50" s="127"/>
      <c r="L50" s="10"/>
      <c r="M50" s="10"/>
      <c r="N50" s="10"/>
      <c r="O50" s="10"/>
    </row>
    <row r="51" spans="1:15" x14ac:dyDescent="0.25">
      <c r="A51" s="127" t="e">
        <f>A48/A31</f>
        <v>#DIV/0!</v>
      </c>
      <c r="B51" s="144" t="s">
        <v>463</v>
      </c>
      <c r="C51" s="127"/>
      <c r="D51" s="127"/>
      <c r="E51" s="127"/>
      <c r="F51" s="127"/>
      <c r="G51" s="127"/>
      <c r="H51" s="127"/>
      <c r="I51" s="127"/>
      <c r="J51" s="127"/>
      <c r="K51" s="127"/>
    </row>
    <row r="52" spans="1:15" x14ac:dyDescent="0.25">
      <c r="A52" s="127"/>
      <c r="B52" s="127"/>
      <c r="C52" s="137" t="s">
        <v>459</v>
      </c>
      <c r="D52" s="127"/>
      <c r="E52" s="127"/>
      <c r="F52" s="127"/>
      <c r="G52" s="127"/>
      <c r="H52" s="127"/>
      <c r="I52" s="127"/>
      <c r="J52" s="127"/>
      <c r="K52" s="127"/>
    </row>
    <row r="53" spans="1:15" x14ac:dyDescent="0.25">
      <c r="A53" s="127"/>
      <c r="B53" s="129"/>
      <c r="C53" s="127" t="s">
        <v>465</v>
      </c>
      <c r="D53" s="127">
        <v>1</v>
      </c>
      <c r="E53" s="127" t="s">
        <v>469</v>
      </c>
      <c r="F53" s="127"/>
      <c r="G53" s="127"/>
      <c r="H53" s="127"/>
      <c r="I53" s="127"/>
      <c r="J53" s="127"/>
      <c r="K53" s="127"/>
    </row>
    <row r="54" spans="1:15" x14ac:dyDescent="0.25">
      <c r="A54" s="138"/>
      <c r="B54" s="129"/>
      <c r="C54" s="127"/>
      <c r="D54" s="127" t="e">
        <f>D53*A51</f>
        <v>#DIV/0!</v>
      </c>
      <c r="E54" s="127" t="s">
        <v>460</v>
      </c>
      <c r="F54" s="127"/>
      <c r="G54" s="127"/>
      <c r="H54" s="127"/>
      <c r="I54" s="127"/>
      <c r="J54" s="127"/>
      <c r="K54" s="127"/>
    </row>
    <row r="55" spans="1:15" x14ac:dyDescent="0.25">
      <c r="A55" s="127" t="s">
        <v>470</v>
      </c>
      <c r="B55" s="129"/>
      <c r="C55" s="127"/>
      <c r="D55" s="127"/>
      <c r="E55" s="127"/>
      <c r="F55" s="127"/>
      <c r="G55" s="127"/>
      <c r="H55" s="127"/>
      <c r="I55" s="127"/>
      <c r="J55" s="127"/>
      <c r="K55" s="127"/>
    </row>
    <row r="56" spans="1:15" x14ac:dyDescent="0.25">
      <c r="A56" s="127" t="s">
        <v>461</v>
      </c>
      <c r="B56" s="129"/>
      <c r="C56" s="127"/>
      <c r="D56" s="127"/>
      <c r="E56" s="127"/>
      <c r="F56" s="127"/>
      <c r="G56" s="127"/>
      <c r="H56" s="127"/>
      <c r="I56" s="127"/>
      <c r="J56" s="127"/>
      <c r="K56" s="127"/>
    </row>
    <row r="57" spans="1:15" x14ac:dyDescent="0.25">
      <c r="A57" s="127" t="e">
        <f>F19/B19</f>
        <v>#DIV/0!</v>
      </c>
      <c r="B57" s="144" t="s">
        <v>464</v>
      </c>
      <c r="C57" s="127"/>
      <c r="D57" s="127"/>
      <c r="E57" s="127"/>
      <c r="F57" s="127"/>
      <c r="G57" s="127"/>
      <c r="H57" s="127"/>
      <c r="I57" s="127"/>
      <c r="J57" s="127"/>
      <c r="K57" s="127"/>
    </row>
    <row r="58" spans="1:15" x14ac:dyDescent="0.25">
      <c r="A58" s="127"/>
      <c r="B58" s="129"/>
      <c r="C58" s="127" t="s">
        <v>466</v>
      </c>
      <c r="D58" s="127"/>
      <c r="E58" s="127"/>
      <c r="F58" s="127"/>
      <c r="G58" s="127"/>
      <c r="H58" s="127"/>
      <c r="I58" s="127"/>
      <c r="J58" s="127"/>
      <c r="K58" s="127"/>
    </row>
    <row r="59" spans="1:15" x14ac:dyDescent="0.25">
      <c r="A59" s="127" t="s">
        <v>471</v>
      </c>
      <c r="B59" s="129"/>
      <c r="C59" s="127"/>
      <c r="D59" s="127"/>
      <c r="E59" s="127"/>
      <c r="F59" s="127"/>
      <c r="G59" s="127"/>
      <c r="H59" s="127"/>
      <c r="I59" s="127"/>
      <c r="J59" s="127"/>
      <c r="K59" s="127"/>
    </row>
    <row r="60" spans="1:15" x14ac:dyDescent="0.25">
      <c r="A60" s="128" t="e">
        <f>A57*A51</f>
        <v>#DIV/0!</v>
      </c>
      <c r="B60" s="144" t="s">
        <v>468</v>
      </c>
      <c r="C60" s="127"/>
      <c r="D60" s="127"/>
      <c r="E60" s="127"/>
      <c r="F60" s="127"/>
      <c r="G60" s="127"/>
      <c r="H60" s="127"/>
      <c r="I60" s="127"/>
      <c r="J60" s="127"/>
      <c r="K60" s="127"/>
    </row>
    <row r="61" spans="1:15" x14ac:dyDescent="0.25">
      <c r="A61" s="127" t="s">
        <v>467</v>
      </c>
      <c r="B61" s="129"/>
      <c r="C61" s="127"/>
      <c r="D61" s="127"/>
      <c r="E61" s="127"/>
      <c r="F61" s="127"/>
      <c r="G61" s="127"/>
      <c r="H61" s="127"/>
      <c r="I61" s="127"/>
      <c r="J61" s="127"/>
      <c r="K61" s="127"/>
    </row>
    <row r="62" spans="1:15" x14ac:dyDescent="0.25">
      <c r="A62" s="128" t="e">
        <f>A60*(1/A31)</f>
        <v>#DIV/0!</v>
      </c>
      <c r="B62" s="144" t="s">
        <v>473</v>
      </c>
      <c r="C62" s="127"/>
      <c r="D62" s="127"/>
      <c r="E62" s="127"/>
      <c r="F62" s="127"/>
      <c r="G62" s="127"/>
      <c r="H62" s="127"/>
      <c r="I62" s="127"/>
      <c r="J62" s="127"/>
      <c r="K62" s="127"/>
    </row>
    <row r="63" spans="1:15" x14ac:dyDescent="0.25">
      <c r="A63" s="127" t="s">
        <v>472</v>
      </c>
      <c r="B63" s="129"/>
      <c r="C63" s="127"/>
      <c r="D63" s="127"/>
      <c r="E63" s="127"/>
      <c r="F63" s="127"/>
      <c r="G63" s="127"/>
      <c r="H63" s="127"/>
      <c r="I63" s="127"/>
      <c r="J63" s="127"/>
      <c r="K63" s="127"/>
    </row>
    <row r="64" spans="1:15" x14ac:dyDescent="0.25">
      <c r="A64" s="22" t="e">
        <f>A62*A31</f>
        <v>#DIV/0!</v>
      </c>
      <c r="B64" s="144" t="s">
        <v>474</v>
      </c>
      <c r="C64" s="127"/>
      <c r="D64" s="127"/>
      <c r="E64" s="127"/>
      <c r="F64" s="127"/>
      <c r="G64" s="127"/>
      <c r="H64" s="127"/>
      <c r="I64" s="127"/>
      <c r="J64" s="127"/>
      <c r="K64" s="127"/>
    </row>
    <row r="65" spans="1:11" x14ac:dyDescent="0.25">
      <c r="A65" s="127"/>
      <c r="B65" s="127"/>
      <c r="C65" s="144" t="s">
        <v>475</v>
      </c>
      <c r="D65" s="127"/>
      <c r="E65" s="127"/>
      <c r="F65" s="127"/>
      <c r="G65" s="127"/>
      <c r="H65" s="127"/>
      <c r="I65" s="127"/>
      <c r="J65" s="127"/>
      <c r="K65" s="127"/>
    </row>
    <row r="66" spans="1:11" x14ac:dyDescent="0.25">
      <c r="A66" s="139"/>
      <c r="B66" s="139"/>
      <c r="C66" s="127"/>
      <c r="D66" s="127"/>
      <c r="E66" s="127"/>
      <c r="F66" s="127"/>
      <c r="G66" s="127"/>
      <c r="H66" s="127"/>
      <c r="I66" s="127"/>
      <c r="J66" s="127"/>
      <c r="K66" s="127"/>
    </row>
    <row r="67" spans="1:11" x14ac:dyDescent="0.25">
      <c r="A67" s="127"/>
      <c r="B67" s="127"/>
      <c r="C67" s="127"/>
      <c r="D67" s="127"/>
      <c r="E67" s="127"/>
      <c r="F67" s="127"/>
      <c r="G67" s="127"/>
      <c r="H67" s="127"/>
      <c r="I67" s="127"/>
      <c r="J67" s="127"/>
      <c r="K67" s="127"/>
    </row>
    <row r="68" spans="1:11" x14ac:dyDescent="0.25">
      <c r="A68" s="127" t="s">
        <v>183</v>
      </c>
      <c r="B68" s="127" t="s">
        <v>184</v>
      </c>
      <c r="C68" s="127" t="s">
        <v>185</v>
      </c>
      <c r="D68" s="127"/>
      <c r="E68" s="127"/>
      <c r="F68" s="127"/>
      <c r="G68" s="127"/>
      <c r="H68" s="127"/>
      <c r="I68" s="127"/>
      <c r="J68" s="127"/>
      <c r="K68" s="127"/>
    </row>
    <row r="69" spans="1:11" x14ac:dyDescent="0.25">
      <c r="A69" s="131" t="s">
        <v>181</v>
      </c>
      <c r="B69" s="127"/>
      <c r="C69" s="127"/>
      <c r="D69" s="127"/>
      <c r="E69" s="127"/>
      <c r="F69" s="127"/>
      <c r="G69" s="127"/>
      <c r="H69" s="127"/>
      <c r="I69" s="127"/>
      <c r="J69" s="127"/>
      <c r="K69" s="127"/>
    </row>
    <row r="70" spans="1:11" x14ac:dyDescent="0.25">
      <c r="A70" s="132" t="s">
        <v>480</v>
      </c>
      <c r="B70" s="127"/>
      <c r="C70" s="127"/>
      <c r="D70" s="127"/>
      <c r="E70" s="127"/>
      <c r="F70" s="127"/>
      <c r="G70" s="127"/>
      <c r="H70" s="127"/>
      <c r="I70" s="127"/>
      <c r="J70" s="127"/>
      <c r="K70" s="127"/>
    </row>
    <row r="71" spans="1:11" x14ac:dyDescent="0.25">
      <c r="A71" s="127">
        <f>D22-D23</f>
        <v>177.70000000000005</v>
      </c>
      <c r="B71" s="127" t="s">
        <v>41</v>
      </c>
      <c r="C71" s="127" t="s">
        <v>197</v>
      </c>
      <c r="D71" s="127"/>
      <c r="E71" s="127"/>
      <c r="F71" s="127"/>
      <c r="G71" s="127"/>
      <c r="H71" s="127"/>
      <c r="I71" s="127"/>
      <c r="J71" s="127"/>
      <c r="K71" s="127"/>
    </row>
    <row r="72" spans="1:11" x14ac:dyDescent="0.25">
      <c r="A72" s="127">
        <f>F23/A71</f>
        <v>46.994935284186816</v>
      </c>
      <c r="B72" s="127" t="s">
        <v>135</v>
      </c>
      <c r="C72" s="127" t="s">
        <v>186</v>
      </c>
      <c r="D72" s="127"/>
      <c r="E72" s="127"/>
      <c r="F72" s="127"/>
      <c r="G72" s="127"/>
      <c r="H72" s="127"/>
      <c r="I72" s="127"/>
      <c r="J72" s="127"/>
      <c r="K72" s="127"/>
    </row>
    <row r="73" spans="1:11" x14ac:dyDescent="0.25">
      <c r="A73" s="127"/>
      <c r="B73" s="127"/>
      <c r="C73" s="127"/>
      <c r="D73" s="127" t="s">
        <v>187</v>
      </c>
      <c r="E73" s="127"/>
      <c r="F73" s="127"/>
      <c r="G73" s="127"/>
      <c r="H73" s="127"/>
      <c r="I73" s="127"/>
      <c r="J73" s="127"/>
      <c r="K73" s="127"/>
    </row>
    <row r="74" spans="1:11" x14ac:dyDescent="0.25">
      <c r="A74" s="127">
        <f>D23/F23</f>
        <v>5.2017722428451679E-2</v>
      </c>
      <c r="B74" s="127" t="s">
        <v>142</v>
      </c>
      <c r="C74" s="127" t="s">
        <v>193</v>
      </c>
      <c r="D74" s="127"/>
      <c r="E74" s="127"/>
      <c r="F74" s="127"/>
      <c r="G74" s="127"/>
      <c r="H74" s="127"/>
      <c r="I74" s="127"/>
      <c r="J74" s="127"/>
      <c r="K74" s="127"/>
    </row>
    <row r="75" spans="1:11" x14ac:dyDescent="0.25">
      <c r="A75" s="22">
        <f>D23/A71</f>
        <v>2.4445694991558797</v>
      </c>
      <c r="B75" s="127" t="s">
        <v>139</v>
      </c>
      <c r="C75" s="127" t="s">
        <v>403</v>
      </c>
      <c r="D75" s="127"/>
      <c r="E75" s="127"/>
      <c r="F75" s="127"/>
      <c r="G75" s="127"/>
      <c r="H75" s="127"/>
      <c r="I75" s="127"/>
      <c r="J75" s="127"/>
      <c r="K75" s="127"/>
    </row>
    <row r="76" spans="1:11" x14ac:dyDescent="0.25">
      <c r="A76" s="127"/>
      <c r="B76" s="127"/>
      <c r="C76" s="127"/>
      <c r="D76" s="127" t="s">
        <v>189</v>
      </c>
      <c r="E76" s="127"/>
      <c r="F76" s="127"/>
      <c r="G76" s="127"/>
      <c r="H76" s="127"/>
      <c r="I76" s="127"/>
      <c r="J76" s="127"/>
      <c r="K76" s="127"/>
    </row>
    <row r="77" spans="1:11" x14ac:dyDescent="0.25">
      <c r="A77" s="127">
        <f>A71-E23</f>
        <v>125.41000000000005</v>
      </c>
      <c r="B77" s="127" t="s">
        <v>199</v>
      </c>
      <c r="C77" s="127" t="s">
        <v>200</v>
      </c>
      <c r="D77" s="127"/>
      <c r="E77" s="127"/>
      <c r="F77" s="127"/>
      <c r="G77" s="127"/>
      <c r="H77" s="127"/>
      <c r="I77" s="127"/>
      <c r="J77" s="127"/>
      <c r="K77" s="127"/>
    </row>
    <row r="78" spans="1:11" x14ac:dyDescent="0.25">
      <c r="A78" s="127"/>
      <c r="B78" s="127"/>
      <c r="C78" s="127"/>
      <c r="D78" s="127" t="s">
        <v>198</v>
      </c>
      <c r="E78" s="127"/>
      <c r="F78" s="127"/>
      <c r="G78" s="127"/>
      <c r="H78" s="127"/>
      <c r="I78" s="127"/>
      <c r="J78" s="127"/>
      <c r="K78" s="127"/>
    </row>
    <row r="79" spans="1:11" x14ac:dyDescent="0.25">
      <c r="A79" s="127">
        <f>F23/A77</f>
        <v>66.589586157403687</v>
      </c>
      <c r="B79" s="127" t="s">
        <v>135</v>
      </c>
      <c r="C79" s="127" t="s">
        <v>201</v>
      </c>
      <c r="D79" s="127"/>
      <c r="E79" s="127"/>
      <c r="F79" s="127"/>
      <c r="G79" s="127"/>
      <c r="H79" s="127"/>
      <c r="I79" s="127"/>
      <c r="J79" s="127"/>
      <c r="K79" s="127"/>
    </row>
    <row r="80" spans="1:11" x14ac:dyDescent="0.25">
      <c r="A80" s="127"/>
      <c r="B80" s="127"/>
      <c r="C80" s="127"/>
      <c r="D80" s="127"/>
      <c r="E80" s="127"/>
      <c r="F80" s="127"/>
      <c r="G80" s="127"/>
      <c r="H80" s="127"/>
      <c r="I80" s="127"/>
      <c r="J80" s="127"/>
      <c r="K80" s="127"/>
    </row>
    <row r="81" spans="1:11" x14ac:dyDescent="0.25">
      <c r="A81" s="132" t="s">
        <v>479</v>
      </c>
      <c r="B81" s="127"/>
      <c r="C81" s="127"/>
      <c r="D81" s="127"/>
      <c r="E81" s="127"/>
      <c r="F81" s="127"/>
      <c r="G81" s="127"/>
      <c r="H81" s="127"/>
      <c r="I81" s="127"/>
      <c r="J81" s="127"/>
      <c r="K81" s="127"/>
    </row>
    <row r="82" spans="1:11" x14ac:dyDescent="0.25">
      <c r="A82" s="127">
        <f>D24/F24</f>
        <v>7.1609966459032101E-2</v>
      </c>
      <c r="B82" s="127" t="s">
        <v>142</v>
      </c>
      <c r="C82" s="127" t="s">
        <v>268</v>
      </c>
      <c r="D82" s="127"/>
      <c r="E82" s="127"/>
      <c r="F82" s="127"/>
      <c r="G82" s="127"/>
      <c r="H82" s="127"/>
      <c r="I82" s="127"/>
      <c r="J82" s="127"/>
      <c r="K82" s="127"/>
    </row>
    <row r="83" spans="1:11" x14ac:dyDescent="0.25">
      <c r="A83" s="127"/>
      <c r="B83" s="127"/>
      <c r="C83" s="127"/>
      <c r="D83" s="127" t="s">
        <v>196</v>
      </c>
      <c r="E83" s="127"/>
      <c r="F83" s="127"/>
      <c r="G83" s="127"/>
      <c r="H83" s="127"/>
      <c r="I83" s="127"/>
      <c r="J83" s="127"/>
      <c r="K83" s="127"/>
    </row>
    <row r="84" spans="1:11" x14ac:dyDescent="0.25">
      <c r="A84" s="22">
        <f>A82*A72</f>
        <v>3.3653057394450023</v>
      </c>
      <c r="B84" s="127" t="s">
        <v>139</v>
      </c>
      <c r="C84" s="127" t="s">
        <v>191</v>
      </c>
      <c r="D84" s="127"/>
      <c r="E84" s="127"/>
      <c r="F84" s="127"/>
      <c r="G84" s="127"/>
      <c r="H84" s="127"/>
      <c r="I84" s="127"/>
      <c r="J84" s="127"/>
      <c r="K84" s="127"/>
    </row>
    <row r="85" spans="1:11" x14ac:dyDescent="0.25">
      <c r="A85" s="127"/>
      <c r="B85" s="127"/>
      <c r="C85" s="127"/>
      <c r="D85" s="127" t="s">
        <v>192</v>
      </c>
      <c r="E85" s="127"/>
      <c r="F85" s="127"/>
      <c r="G85" s="127"/>
      <c r="H85" s="127"/>
      <c r="I85" s="127"/>
      <c r="J85" s="127"/>
      <c r="K85" s="127"/>
    </row>
    <row r="86" spans="1:11" x14ac:dyDescent="0.25">
      <c r="A86" s="127"/>
      <c r="B86" s="127"/>
      <c r="C86" s="127"/>
      <c r="D86" s="127" t="s">
        <v>404</v>
      </c>
      <c r="E86" s="127"/>
      <c r="F86" s="127"/>
      <c r="G86" s="127"/>
      <c r="H86" s="127"/>
      <c r="I86" s="127"/>
      <c r="J86" s="127"/>
      <c r="K86" s="127"/>
    </row>
    <row r="87" spans="1:11" x14ac:dyDescent="0.25">
      <c r="A87" s="127">
        <f>B24/D24</f>
        <v>0.38240214118434263</v>
      </c>
      <c r="B87" s="127" t="s">
        <v>135</v>
      </c>
      <c r="C87" s="127" t="s">
        <v>500</v>
      </c>
      <c r="D87" s="127"/>
      <c r="E87" s="127"/>
      <c r="F87" s="127"/>
      <c r="G87" s="127"/>
      <c r="H87" s="127"/>
      <c r="I87" s="127"/>
      <c r="J87" s="127"/>
      <c r="K87" s="127"/>
    </row>
    <row r="88" spans="1:11" x14ac:dyDescent="0.25">
      <c r="A88" s="127"/>
      <c r="B88" s="127"/>
      <c r="C88" s="127"/>
      <c r="D88" s="127"/>
      <c r="E88" s="127"/>
      <c r="F88" s="127"/>
      <c r="G88" s="127"/>
      <c r="H88" s="127"/>
      <c r="I88" s="127"/>
      <c r="J88" s="127"/>
      <c r="K88" s="127"/>
    </row>
    <row r="89" spans="1:11" x14ac:dyDescent="0.25">
      <c r="A89" s="132" t="s">
        <v>478</v>
      </c>
      <c r="B89" s="127"/>
      <c r="C89" s="127"/>
      <c r="D89" s="127"/>
      <c r="E89" s="127"/>
      <c r="F89" s="127"/>
      <c r="G89" s="127"/>
      <c r="H89" s="127"/>
      <c r="I89" s="127"/>
      <c r="J89" s="127"/>
      <c r="K89" s="127"/>
    </row>
    <row r="90" spans="1:11" x14ac:dyDescent="0.25">
      <c r="A90" s="127">
        <f>B23/(A77+E23+D23)</f>
        <v>0.37346838751837935</v>
      </c>
      <c r="B90" s="127" t="s">
        <v>458</v>
      </c>
      <c r="C90" s="127" t="s">
        <v>476</v>
      </c>
      <c r="D90" s="127"/>
      <c r="E90" s="127"/>
      <c r="F90" s="127"/>
      <c r="G90" s="127"/>
      <c r="H90" s="127"/>
      <c r="I90" s="127"/>
      <c r="J90" s="127"/>
      <c r="K90" s="127"/>
    </row>
    <row r="91" spans="1:11" x14ac:dyDescent="0.25">
      <c r="A91" s="127"/>
      <c r="B91" s="127"/>
      <c r="C91" s="127"/>
      <c r="D91" s="127"/>
      <c r="E91" s="127" t="s">
        <v>477</v>
      </c>
      <c r="F91" s="127"/>
      <c r="G91" s="127"/>
      <c r="H91" s="127"/>
      <c r="I91" s="127"/>
      <c r="J91" s="127"/>
      <c r="K91" s="127"/>
    </row>
    <row r="92" spans="1:11" x14ac:dyDescent="0.25">
      <c r="A92" s="137" t="s">
        <v>462</v>
      </c>
      <c r="B92" s="127"/>
      <c r="C92" s="127"/>
      <c r="D92" s="127"/>
      <c r="E92" s="127"/>
      <c r="F92" s="127"/>
      <c r="G92" s="127"/>
      <c r="H92" s="127"/>
      <c r="I92" s="127"/>
      <c r="J92" s="127"/>
      <c r="K92" s="127"/>
    </row>
    <row r="93" spans="1:11" x14ac:dyDescent="0.25">
      <c r="A93" s="127">
        <f>A90/A72</f>
        <v>7.9469922718256539E-3</v>
      </c>
      <c r="B93" s="127" t="s">
        <v>463</v>
      </c>
      <c r="C93" s="127"/>
      <c r="D93" s="127"/>
      <c r="E93" s="127"/>
      <c r="F93" s="127"/>
      <c r="G93" s="127"/>
      <c r="H93" s="127"/>
      <c r="I93" s="127"/>
      <c r="J93" s="127"/>
      <c r="K93" s="127"/>
    </row>
    <row r="94" spans="1:11" x14ac:dyDescent="0.25">
      <c r="A94" s="127"/>
      <c r="B94" s="127"/>
      <c r="C94" s="137" t="s">
        <v>459</v>
      </c>
      <c r="D94" s="127"/>
      <c r="E94" s="127"/>
      <c r="F94" s="127"/>
      <c r="G94" s="127"/>
      <c r="H94" s="127"/>
      <c r="I94" s="127"/>
      <c r="J94" s="127"/>
      <c r="K94" s="127"/>
    </row>
    <row r="95" spans="1:11" x14ac:dyDescent="0.25">
      <c r="A95" s="138"/>
      <c r="B95" s="127"/>
      <c r="C95" s="127" t="s">
        <v>465</v>
      </c>
      <c r="D95" s="127">
        <v>1</v>
      </c>
      <c r="E95" s="127" t="s">
        <v>469</v>
      </c>
      <c r="F95" s="127"/>
      <c r="G95" s="127"/>
      <c r="H95" s="127"/>
      <c r="I95" s="127"/>
      <c r="J95" s="127"/>
      <c r="K95" s="127"/>
    </row>
    <row r="96" spans="1:11" x14ac:dyDescent="0.25">
      <c r="A96" s="127"/>
      <c r="B96" s="127"/>
      <c r="C96" s="127"/>
      <c r="D96" s="127">
        <f>D95*A93</f>
        <v>7.9469922718256539E-3</v>
      </c>
      <c r="E96" s="127" t="s">
        <v>460</v>
      </c>
      <c r="F96" s="127"/>
      <c r="G96" s="127"/>
      <c r="H96" s="127"/>
      <c r="I96" s="127"/>
      <c r="J96" s="127"/>
      <c r="K96" s="127"/>
    </row>
    <row r="97" spans="1:11" x14ac:dyDescent="0.25">
      <c r="A97" s="127" t="s">
        <v>470</v>
      </c>
      <c r="B97" s="127"/>
      <c r="C97" s="127"/>
      <c r="D97" s="127"/>
      <c r="E97" s="127"/>
      <c r="F97" s="127"/>
      <c r="G97" s="127"/>
      <c r="H97" s="127"/>
      <c r="I97" s="127"/>
      <c r="J97" s="127"/>
      <c r="K97" s="127"/>
    </row>
    <row r="98" spans="1:11" x14ac:dyDescent="0.25">
      <c r="A98" s="127" t="s">
        <v>461</v>
      </c>
      <c r="B98" s="127"/>
      <c r="C98" s="127"/>
      <c r="D98" s="127"/>
      <c r="E98" s="127"/>
      <c r="F98" s="127"/>
      <c r="G98" s="127"/>
      <c r="H98" s="127"/>
      <c r="I98" s="127"/>
      <c r="J98" s="127"/>
      <c r="K98" s="127"/>
    </row>
    <row r="99" spans="1:11" x14ac:dyDescent="0.25">
      <c r="A99" s="127">
        <f>F23/B23</f>
        <v>36.531058617672791</v>
      </c>
      <c r="B99" s="127" t="s">
        <v>464</v>
      </c>
      <c r="C99" s="127"/>
      <c r="D99" s="127" t="s">
        <v>503</v>
      </c>
      <c r="E99" s="127"/>
      <c r="F99" s="127"/>
      <c r="G99" s="127"/>
      <c r="H99" s="127"/>
      <c r="I99" s="127"/>
      <c r="J99" s="127"/>
      <c r="K99" s="127"/>
    </row>
    <row r="100" spans="1:11" x14ac:dyDescent="0.25">
      <c r="A100" s="127"/>
      <c r="B100" s="127"/>
      <c r="C100" s="127" t="s">
        <v>466</v>
      </c>
      <c r="D100" s="127"/>
      <c r="E100" s="127"/>
      <c r="F100" s="127"/>
      <c r="G100" s="127"/>
      <c r="H100" s="127"/>
      <c r="I100" s="127"/>
      <c r="J100" s="127"/>
      <c r="K100" s="127"/>
    </row>
    <row r="101" spans="1:11" x14ac:dyDescent="0.25">
      <c r="A101" s="127" t="s">
        <v>505</v>
      </c>
      <c r="B101" s="127"/>
      <c r="C101" s="127"/>
      <c r="D101" s="127"/>
      <c r="E101" s="127"/>
      <c r="F101" s="127"/>
      <c r="G101" s="127"/>
      <c r="H101" s="127"/>
      <c r="I101" s="127"/>
      <c r="J101" s="127"/>
      <c r="K101" s="127"/>
    </row>
    <row r="102" spans="1:11" x14ac:dyDescent="0.25">
      <c r="A102" s="127">
        <f>A93/(1/A99-A93)</f>
        <v>0.40906998158379404</v>
      </c>
      <c r="B102" s="127" t="s">
        <v>468</v>
      </c>
      <c r="C102" s="127"/>
      <c r="D102" s="127"/>
      <c r="E102" s="127"/>
      <c r="F102" s="127" t="s">
        <v>504</v>
      </c>
      <c r="G102" s="127"/>
      <c r="H102" s="127"/>
      <c r="I102" s="127"/>
      <c r="J102" s="127"/>
      <c r="K102" s="127"/>
    </row>
    <row r="103" spans="1:11" x14ac:dyDescent="0.25">
      <c r="A103" s="127" t="s">
        <v>467</v>
      </c>
      <c r="B103" s="127"/>
      <c r="C103" s="127"/>
      <c r="D103" s="127"/>
      <c r="E103" s="127"/>
      <c r="F103" s="127"/>
      <c r="G103" s="127"/>
      <c r="H103" s="127"/>
      <c r="I103" s="127"/>
      <c r="J103" s="127"/>
      <c r="K103" s="127"/>
    </row>
    <row r="104" spans="1:11" x14ac:dyDescent="0.25">
      <c r="A104" s="128">
        <f>A102*(1/A72)</f>
        <v>8.7045546314741019E-3</v>
      </c>
      <c r="B104" s="127" t="s">
        <v>473</v>
      </c>
      <c r="C104" s="127"/>
      <c r="D104" s="127"/>
      <c r="E104" s="127"/>
      <c r="F104" s="127"/>
      <c r="G104" s="127"/>
      <c r="H104" s="127"/>
      <c r="I104" s="127"/>
      <c r="J104" s="127"/>
      <c r="K104" s="127"/>
    </row>
    <row r="105" spans="1:11" x14ac:dyDescent="0.25">
      <c r="A105" s="127" t="s">
        <v>472</v>
      </c>
      <c r="B105" s="127"/>
      <c r="C105" s="127"/>
      <c r="D105" s="127"/>
      <c r="E105" s="127"/>
      <c r="F105" s="127"/>
      <c r="G105" s="127"/>
      <c r="H105" s="127"/>
      <c r="I105" s="127"/>
      <c r="J105" s="127"/>
      <c r="K105" s="127"/>
    </row>
    <row r="106" spans="1:11" x14ac:dyDescent="0.25">
      <c r="A106" s="22">
        <f>A104*A72</f>
        <v>0.40906998158379404</v>
      </c>
      <c r="B106" s="127" t="s">
        <v>474</v>
      </c>
      <c r="C106" s="127"/>
      <c r="D106" s="127"/>
      <c r="E106" s="127"/>
      <c r="F106" s="127"/>
      <c r="G106" s="127"/>
      <c r="H106" s="127"/>
      <c r="I106" s="127"/>
      <c r="J106" s="127"/>
      <c r="K106" s="127"/>
    </row>
    <row r="107" spans="1:11" x14ac:dyDescent="0.25">
      <c r="A107" s="139"/>
      <c r="B107" s="127" t="s">
        <v>475</v>
      </c>
      <c r="C107" s="127"/>
      <c r="D107" s="127"/>
      <c r="E107" s="127"/>
      <c r="F107" s="127"/>
      <c r="G107" s="127"/>
      <c r="H107" s="127"/>
      <c r="I107" s="127"/>
      <c r="J107" s="127"/>
      <c r="K107" s="127"/>
    </row>
    <row r="112" spans="1:11" x14ac:dyDescent="0.25">
      <c r="A112" t="s">
        <v>506</v>
      </c>
    </row>
    <row r="113" spans="1:1" x14ac:dyDescent="0.25">
      <c r="A113" t="s">
        <v>507</v>
      </c>
    </row>
    <row r="114" spans="1:1" x14ac:dyDescent="0.25">
      <c r="A114" t="s">
        <v>508</v>
      </c>
    </row>
    <row r="115" spans="1:1" x14ac:dyDescent="0.25">
      <c r="A115" t="s">
        <v>509</v>
      </c>
    </row>
    <row r="116" spans="1:1" x14ac:dyDescent="0.25">
      <c r="A116" t="s">
        <v>510</v>
      </c>
    </row>
    <row r="118" spans="1:1" x14ac:dyDescent="0.25">
      <c r="A118" t="s">
        <v>511</v>
      </c>
    </row>
    <row r="119" spans="1:1" x14ac:dyDescent="0.25">
      <c r="A119" t="s">
        <v>512</v>
      </c>
    </row>
    <row r="120" spans="1:1" x14ac:dyDescent="0.25">
      <c r="A120" t="s">
        <v>519</v>
      </c>
    </row>
    <row r="121" spans="1:1" x14ac:dyDescent="0.25">
      <c r="A121" t="s">
        <v>520</v>
      </c>
    </row>
    <row r="122" spans="1:1" x14ac:dyDescent="0.25">
      <c r="A122" t="s">
        <v>513</v>
      </c>
    </row>
    <row r="123" spans="1:1" x14ac:dyDescent="0.25">
      <c r="A123" t="s">
        <v>514</v>
      </c>
    </row>
    <row r="124" spans="1:1" x14ac:dyDescent="0.25">
      <c r="A124" t="s">
        <v>515</v>
      </c>
    </row>
    <row r="125" spans="1:1" x14ac:dyDescent="0.25">
      <c r="A125" t="s">
        <v>516</v>
      </c>
    </row>
    <row r="127" spans="1:1" x14ac:dyDescent="0.25">
      <c r="A127" t="s">
        <v>517</v>
      </c>
    </row>
    <row r="128" spans="1:1" x14ac:dyDescent="0.25">
      <c r="A128" t="s">
        <v>518</v>
      </c>
    </row>
  </sheetData>
  <mergeCells count="2">
    <mergeCell ref="A17:E17"/>
    <mergeCell ref="A21:E2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defaultRowHeight="15" x14ac:dyDescent="0.25"/>
  <sheetData>
    <row r="1" spans="1:3" x14ac:dyDescent="0.25">
      <c r="A1" t="s">
        <v>577</v>
      </c>
    </row>
    <row r="3" spans="1:3" x14ac:dyDescent="0.25">
      <c r="A3" t="s">
        <v>578</v>
      </c>
      <c r="C3" t="s">
        <v>0</v>
      </c>
    </row>
    <row r="4" spans="1:3" x14ac:dyDescent="0.25">
      <c r="A4" s="106">
        <v>0.7</v>
      </c>
    </row>
    <row r="5" spans="1:3" x14ac:dyDescent="0.25">
      <c r="A5" s="106">
        <v>0.8</v>
      </c>
    </row>
    <row r="6" spans="1:3" x14ac:dyDescent="0.25">
      <c r="A6" s="106">
        <v>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27" workbookViewId="0">
      <selection activeCell="D51" sqref="D51"/>
    </sheetView>
  </sheetViews>
  <sheetFormatPr defaultRowHeight="15" x14ac:dyDescent="0.25"/>
  <cols>
    <col min="1" max="1" width="29.28515625" customWidth="1"/>
    <col min="2" max="5" width="12.5703125" customWidth="1"/>
    <col min="19" max="19" width="15.140625" customWidth="1"/>
    <col min="21" max="23" width="15.42578125" customWidth="1"/>
    <col min="24" max="24" width="15.85546875" customWidth="1"/>
    <col min="25" max="25" width="15.42578125" customWidth="1"/>
    <col min="26" max="26" width="13.140625" customWidth="1"/>
    <col min="27" max="27" width="21.28515625" customWidth="1"/>
    <col min="28" max="28" width="13.85546875" customWidth="1"/>
    <col min="29" max="29" width="28.42578125" customWidth="1"/>
    <col min="30" max="30" width="29.42578125" customWidth="1"/>
  </cols>
  <sheetData>
    <row r="1" spans="1:30" x14ac:dyDescent="0.25">
      <c r="A1" s="59" t="s">
        <v>152</v>
      </c>
      <c r="C1" s="59" t="s">
        <v>160</v>
      </c>
      <c r="M1" s="59" t="s">
        <v>168</v>
      </c>
      <c r="U1" s="59" t="s">
        <v>202</v>
      </c>
    </row>
    <row r="2" spans="1:30" x14ac:dyDescent="0.25">
      <c r="A2" s="59" t="s">
        <v>153</v>
      </c>
      <c r="C2" s="97" t="s">
        <v>161</v>
      </c>
      <c r="M2" t="s">
        <v>396</v>
      </c>
      <c r="U2" t="s">
        <v>203</v>
      </c>
    </row>
    <row r="3" spans="1:30" x14ac:dyDescent="0.25">
      <c r="A3" t="s">
        <v>146</v>
      </c>
      <c r="M3" t="s">
        <v>170</v>
      </c>
      <c r="N3" t="s">
        <v>172</v>
      </c>
      <c r="O3" t="s">
        <v>171</v>
      </c>
      <c r="U3" t="s">
        <v>204</v>
      </c>
    </row>
    <row r="4" spans="1:30" x14ac:dyDescent="0.25">
      <c r="A4" t="s">
        <v>147</v>
      </c>
      <c r="C4" s="59" t="s">
        <v>162</v>
      </c>
      <c r="M4" s="99" t="s">
        <v>169</v>
      </c>
      <c r="N4">
        <v>84.38</v>
      </c>
      <c r="O4">
        <v>8.4</v>
      </c>
      <c r="U4" t="s">
        <v>205</v>
      </c>
    </row>
    <row r="5" spans="1:30" x14ac:dyDescent="0.25">
      <c r="A5" t="s">
        <v>148</v>
      </c>
      <c r="C5" t="s">
        <v>177</v>
      </c>
      <c r="M5" s="99" t="s">
        <v>164</v>
      </c>
      <c r="N5">
        <v>1523</v>
      </c>
      <c r="O5" s="98">
        <v>0.01</v>
      </c>
      <c r="U5" t="s">
        <v>206</v>
      </c>
    </row>
    <row r="6" spans="1:30" x14ac:dyDescent="0.25">
      <c r="A6" t="s">
        <v>149</v>
      </c>
      <c r="C6" t="s">
        <v>175</v>
      </c>
      <c r="M6" s="99" t="s">
        <v>165</v>
      </c>
      <c r="N6">
        <v>8.5950000000000006</v>
      </c>
      <c r="O6">
        <v>0.85</v>
      </c>
      <c r="U6" t="s">
        <v>207</v>
      </c>
    </row>
    <row r="7" spans="1:30" x14ac:dyDescent="0.25">
      <c r="A7" t="s">
        <v>150</v>
      </c>
      <c r="D7" t="s">
        <v>176</v>
      </c>
      <c r="M7" s="98"/>
    </row>
    <row r="8" spans="1:30" x14ac:dyDescent="0.25">
      <c r="A8" t="s">
        <v>151</v>
      </c>
      <c r="M8" t="s">
        <v>397</v>
      </c>
      <c r="U8" t="s">
        <v>208</v>
      </c>
    </row>
    <row r="9" spans="1:30" x14ac:dyDescent="0.25">
      <c r="A9" s="59" t="s">
        <v>154</v>
      </c>
      <c r="M9" t="s">
        <v>170</v>
      </c>
      <c r="N9" t="s">
        <v>172</v>
      </c>
      <c r="O9" t="s">
        <v>171</v>
      </c>
    </row>
    <row r="10" spans="1:30" ht="45" x14ac:dyDescent="0.25">
      <c r="A10" t="s">
        <v>158</v>
      </c>
      <c r="M10" s="99" t="s">
        <v>169</v>
      </c>
      <c r="N10">
        <v>84.38</v>
      </c>
      <c r="O10">
        <v>8.4</v>
      </c>
      <c r="U10" s="9" t="s">
        <v>216</v>
      </c>
      <c r="V10" s="9" t="s">
        <v>217</v>
      </c>
      <c r="W10" s="9" t="s">
        <v>209</v>
      </c>
      <c r="X10" s="9" t="s">
        <v>210</v>
      </c>
      <c r="Y10" s="9" t="s">
        <v>211</v>
      </c>
      <c r="Z10" s="9" t="s">
        <v>212</v>
      </c>
      <c r="AA10" s="9" t="s">
        <v>213</v>
      </c>
      <c r="AB10" s="9" t="s">
        <v>215</v>
      </c>
      <c r="AC10" s="9" t="s">
        <v>214</v>
      </c>
      <c r="AD10" s="96" t="s">
        <v>218</v>
      </c>
    </row>
    <row r="11" spans="1:30" x14ac:dyDescent="0.25">
      <c r="A11" t="s">
        <v>159</v>
      </c>
      <c r="M11" s="99" t="s">
        <v>164</v>
      </c>
      <c r="N11">
        <v>1514</v>
      </c>
      <c r="O11" s="98">
        <v>0.01</v>
      </c>
      <c r="U11">
        <v>650</v>
      </c>
      <c r="V11">
        <v>613.70000000000005</v>
      </c>
      <c r="W11">
        <v>203.4</v>
      </c>
      <c r="X11">
        <v>203.4</v>
      </c>
      <c r="Y11">
        <v>514.4</v>
      </c>
      <c r="Z11">
        <v>455</v>
      </c>
      <c r="AA11">
        <v>46.53</v>
      </c>
      <c r="AB11">
        <f>V11-Z11</f>
        <v>158.70000000000005</v>
      </c>
      <c r="AC11">
        <f>AB11-AA11</f>
        <v>112.17000000000004</v>
      </c>
      <c r="AD11" s="59">
        <f>AC11/AA11</f>
        <v>2.4107027724049011</v>
      </c>
    </row>
    <row r="12" spans="1:30" x14ac:dyDescent="0.25">
      <c r="M12" s="99" t="s">
        <v>165</v>
      </c>
      <c r="N12">
        <v>9.7080000000000002</v>
      </c>
      <c r="O12">
        <v>0.97</v>
      </c>
      <c r="U12">
        <v>500</v>
      </c>
      <c r="V12">
        <v>471.9</v>
      </c>
      <c r="W12">
        <v>156.5</v>
      </c>
      <c r="X12">
        <v>156.5</v>
      </c>
      <c r="Y12">
        <v>416.4</v>
      </c>
      <c r="Z12">
        <v>349.7</v>
      </c>
      <c r="AA12">
        <v>35.79</v>
      </c>
      <c r="AB12">
        <f>V12-Z12</f>
        <v>122.19999999999999</v>
      </c>
      <c r="AC12">
        <f>AB12-AA12</f>
        <v>86.41</v>
      </c>
      <c r="AD12" s="59">
        <f>AC12/AA12</f>
        <v>2.4143615535065659</v>
      </c>
    </row>
    <row r="13" spans="1:30" s="9" customFormat="1" x14ac:dyDescent="0.25">
      <c r="J13"/>
      <c r="K13"/>
      <c r="L13"/>
      <c r="P13"/>
      <c r="Q13"/>
      <c r="U13" s="9">
        <v>400</v>
      </c>
      <c r="V13" s="9">
        <v>377.3</v>
      </c>
      <c r="W13">
        <v>125.2</v>
      </c>
      <c r="X13" s="9">
        <v>125.2</v>
      </c>
      <c r="Y13" s="9">
        <v>333.1</v>
      </c>
      <c r="Z13" s="9">
        <v>279.60000000000002</v>
      </c>
      <c r="AA13" s="9">
        <v>28.63</v>
      </c>
      <c r="AB13">
        <f>V13-Z13</f>
        <v>97.699999999999989</v>
      </c>
      <c r="AC13">
        <f>AB13-AA13</f>
        <v>69.069999999999993</v>
      </c>
      <c r="AD13" s="59">
        <f>AC13/AA13</f>
        <v>2.4125043660495979</v>
      </c>
    </row>
    <row r="14" spans="1:30" ht="60" x14ac:dyDescent="0.25">
      <c r="A14" s="96" t="s">
        <v>155</v>
      </c>
      <c r="B14" s="96" t="s">
        <v>156</v>
      </c>
      <c r="C14" s="96" t="s">
        <v>33</v>
      </c>
      <c r="D14" s="96" t="s">
        <v>34</v>
      </c>
      <c r="E14" s="96" t="s">
        <v>39</v>
      </c>
      <c r="F14" s="96" t="s">
        <v>127</v>
      </c>
      <c r="G14" s="96"/>
    </row>
    <row r="15" spans="1:30" x14ac:dyDescent="0.25">
      <c r="A15" s="180" t="s">
        <v>178</v>
      </c>
      <c r="B15" s="180"/>
      <c r="C15" s="180"/>
      <c r="D15" s="180"/>
      <c r="E15" s="180"/>
    </row>
    <row r="16" spans="1:30" x14ac:dyDescent="0.25">
      <c r="A16" t="s">
        <v>157</v>
      </c>
      <c r="B16">
        <v>231.7</v>
      </c>
      <c r="C16">
        <v>450</v>
      </c>
      <c r="D16">
        <v>418.8</v>
      </c>
      <c r="E16">
        <v>0</v>
      </c>
      <c r="F16">
        <v>0</v>
      </c>
      <c r="H16" t="s">
        <v>315</v>
      </c>
    </row>
    <row r="17" spans="1:13" x14ac:dyDescent="0.25">
      <c r="A17" t="s">
        <v>179</v>
      </c>
      <c r="B17">
        <v>231.7</v>
      </c>
      <c r="C17">
        <v>367.6</v>
      </c>
      <c r="D17">
        <v>298.60000000000002</v>
      </c>
      <c r="E17">
        <v>35.69</v>
      </c>
      <c r="F17">
        <v>5642</v>
      </c>
      <c r="H17">
        <f>(D16-D17)/D16</f>
        <v>0.28701050620821389</v>
      </c>
    </row>
    <row r="18" spans="1:13" x14ac:dyDescent="0.25">
      <c r="A18" t="s">
        <v>180</v>
      </c>
      <c r="B18">
        <v>231.7</v>
      </c>
      <c r="C18">
        <v>450</v>
      </c>
      <c r="D18">
        <v>408</v>
      </c>
      <c r="E18">
        <v>4.3650000000000002</v>
      </c>
      <c r="F18">
        <v>5641</v>
      </c>
      <c r="M18" s="98"/>
    </row>
    <row r="19" spans="1:13" x14ac:dyDescent="0.25">
      <c r="A19" s="180" t="s">
        <v>181</v>
      </c>
      <c r="B19" s="180"/>
      <c r="C19" s="180"/>
      <c r="D19" s="180"/>
      <c r="E19" s="180"/>
    </row>
    <row r="20" spans="1:13" x14ac:dyDescent="0.25">
      <c r="A20" t="s">
        <v>157</v>
      </c>
      <c r="B20">
        <v>140.9</v>
      </c>
      <c r="C20">
        <v>450</v>
      </c>
      <c r="D20">
        <v>424.6</v>
      </c>
      <c r="E20">
        <v>0</v>
      </c>
      <c r="F20">
        <v>0</v>
      </c>
      <c r="H20" t="s">
        <v>315</v>
      </c>
      <c r="M20" s="99"/>
    </row>
    <row r="21" spans="1:13" x14ac:dyDescent="0.25">
      <c r="A21" t="s">
        <v>179</v>
      </c>
      <c r="B21">
        <v>140.9</v>
      </c>
      <c r="C21">
        <v>374.9</v>
      </c>
      <c r="D21">
        <v>314.8</v>
      </c>
      <c r="E21">
        <v>32.22</v>
      </c>
      <c r="F21">
        <v>5146</v>
      </c>
      <c r="H21">
        <f>(D20-D21)/D20</f>
        <v>0.25859632595383891</v>
      </c>
      <c r="M21" s="99"/>
    </row>
    <row r="22" spans="1:13" x14ac:dyDescent="0.25">
      <c r="A22" t="s">
        <v>180</v>
      </c>
      <c r="B22">
        <v>140.9</v>
      </c>
      <c r="C22">
        <v>450</v>
      </c>
      <c r="D22">
        <v>415.4</v>
      </c>
      <c r="E22">
        <v>3.8250000000000002</v>
      </c>
      <c r="F22">
        <v>5145</v>
      </c>
    </row>
    <row r="24" spans="1:13" x14ac:dyDescent="0.25">
      <c r="A24" s="59" t="s">
        <v>182</v>
      </c>
    </row>
    <row r="25" spans="1:13" x14ac:dyDescent="0.25">
      <c r="A25" t="s">
        <v>183</v>
      </c>
      <c r="B25" t="s">
        <v>184</v>
      </c>
      <c r="C25" t="s">
        <v>185</v>
      </c>
    </row>
    <row r="26" spans="1:13" x14ac:dyDescent="0.25">
      <c r="A26" s="104" t="s">
        <v>178</v>
      </c>
    </row>
    <row r="27" spans="1:13" x14ac:dyDescent="0.25">
      <c r="A27" s="7" t="s">
        <v>194</v>
      </c>
    </row>
    <row r="28" spans="1:13" x14ac:dyDescent="0.25">
      <c r="A28">
        <f>D16-D17</f>
        <v>120.19999999999999</v>
      </c>
      <c r="B28" t="s">
        <v>41</v>
      </c>
      <c r="C28" t="s">
        <v>197</v>
      </c>
    </row>
    <row r="29" spans="1:13" x14ac:dyDescent="0.25">
      <c r="A29">
        <f>F17/A28</f>
        <v>46.938435940099836</v>
      </c>
      <c r="B29" t="s">
        <v>135</v>
      </c>
      <c r="C29" t="s">
        <v>186</v>
      </c>
    </row>
    <row r="30" spans="1:13" x14ac:dyDescent="0.25">
      <c r="D30" t="s">
        <v>187</v>
      </c>
    </row>
    <row r="31" spans="1:13" x14ac:dyDescent="0.25">
      <c r="A31">
        <f>D17/F17</f>
        <v>5.2924494859978737E-2</v>
      </c>
      <c r="B31" t="s">
        <v>142</v>
      </c>
      <c r="C31" t="s">
        <v>193</v>
      </c>
    </row>
    <row r="32" spans="1:13" x14ac:dyDescent="0.25">
      <c r="A32" s="125">
        <f>D17/A28</f>
        <v>2.484193011647255</v>
      </c>
      <c r="B32" t="s">
        <v>139</v>
      </c>
      <c r="C32" t="s">
        <v>188</v>
      </c>
    </row>
    <row r="33" spans="1:15" ht="15" customHeight="1" x14ac:dyDescent="0.25">
      <c r="D33" t="s">
        <v>189</v>
      </c>
      <c r="L33" s="10"/>
      <c r="M33" s="100"/>
      <c r="N33" s="100"/>
      <c r="O33" s="10"/>
    </row>
    <row r="34" spans="1:15" ht="15" customHeight="1" x14ac:dyDescent="0.25">
      <c r="A34">
        <f>A28-E17</f>
        <v>84.509999999999991</v>
      </c>
      <c r="B34" t="s">
        <v>199</v>
      </c>
      <c r="C34" t="s">
        <v>200</v>
      </c>
      <c r="L34" s="101"/>
      <c r="M34" s="102"/>
      <c r="N34" s="102"/>
      <c r="O34" s="10"/>
    </row>
    <row r="35" spans="1:15" ht="15" customHeight="1" x14ac:dyDescent="0.25">
      <c r="D35" t="s">
        <v>198</v>
      </c>
      <c r="L35" s="101"/>
      <c r="M35" s="102"/>
      <c r="N35" s="102"/>
      <c r="O35" s="10"/>
    </row>
    <row r="36" spans="1:15" ht="15" customHeight="1" x14ac:dyDescent="0.25">
      <c r="A36">
        <f>F17/A34</f>
        <v>66.761330020115963</v>
      </c>
      <c r="B36" t="s">
        <v>135</v>
      </c>
      <c r="C36" t="s">
        <v>201</v>
      </c>
      <c r="L36" s="101"/>
      <c r="M36" s="102"/>
      <c r="N36" s="102"/>
      <c r="O36" s="10"/>
    </row>
    <row r="37" spans="1:15" ht="15" customHeight="1" x14ac:dyDescent="0.25">
      <c r="L37" s="101"/>
      <c r="M37" s="102"/>
      <c r="N37" s="102"/>
      <c r="O37" s="10"/>
    </row>
    <row r="38" spans="1:15" ht="15" customHeight="1" x14ac:dyDescent="0.25">
      <c r="A38" s="7" t="s">
        <v>195</v>
      </c>
      <c r="L38" s="101"/>
      <c r="M38" s="102"/>
      <c r="N38" s="102"/>
      <c r="O38" s="10"/>
    </row>
    <row r="39" spans="1:15" ht="15" customHeight="1" x14ac:dyDescent="0.25">
      <c r="A39">
        <f>D18/F18</f>
        <v>7.2327601489097684E-2</v>
      </c>
      <c r="B39" t="s">
        <v>142</v>
      </c>
      <c r="C39" t="s">
        <v>190</v>
      </c>
      <c r="L39" s="101"/>
      <c r="M39" s="102"/>
      <c r="N39" s="102"/>
      <c r="O39" s="10"/>
    </row>
    <row r="40" spans="1:15" x14ac:dyDescent="0.25">
      <c r="D40" t="s">
        <v>196</v>
      </c>
      <c r="L40" s="103"/>
      <c r="M40" s="10"/>
      <c r="N40" s="10"/>
      <c r="O40" s="10"/>
    </row>
    <row r="41" spans="1:15" x14ac:dyDescent="0.25">
      <c r="A41" s="125">
        <f>A39*A29</f>
        <v>3.3949444891970812</v>
      </c>
      <c r="B41" t="s">
        <v>139</v>
      </c>
      <c r="C41" t="s">
        <v>191</v>
      </c>
      <c r="L41" s="103"/>
      <c r="M41" s="10"/>
      <c r="N41" s="10"/>
      <c r="O41" s="10"/>
    </row>
    <row r="42" spans="1:15" x14ac:dyDescent="0.25">
      <c r="D42" t="s">
        <v>192</v>
      </c>
      <c r="L42" s="102"/>
      <c r="M42" s="10"/>
      <c r="N42" s="10"/>
      <c r="O42" s="10"/>
    </row>
    <row r="43" spans="1:15" x14ac:dyDescent="0.25">
      <c r="L43" s="102"/>
      <c r="M43" s="10"/>
      <c r="N43" s="10"/>
      <c r="O43" s="10"/>
    </row>
    <row r="44" spans="1:15" x14ac:dyDescent="0.25">
      <c r="L44" s="10"/>
      <c r="M44" s="10"/>
      <c r="N44" s="10"/>
      <c r="O44" s="10"/>
    </row>
    <row r="45" spans="1:15" x14ac:dyDescent="0.25">
      <c r="A45" t="s">
        <v>183</v>
      </c>
      <c r="B45" t="s">
        <v>184</v>
      </c>
      <c r="C45" t="s">
        <v>185</v>
      </c>
      <c r="L45" s="10"/>
      <c r="M45" s="10"/>
      <c r="N45" s="10"/>
      <c r="O45" s="10"/>
    </row>
    <row r="46" spans="1:15" x14ac:dyDescent="0.25">
      <c r="A46" s="104" t="s">
        <v>181</v>
      </c>
      <c r="L46" s="10"/>
      <c r="M46" s="10"/>
      <c r="N46" s="10"/>
      <c r="O46" s="10"/>
    </row>
    <row r="47" spans="1:15" x14ac:dyDescent="0.25">
      <c r="A47" s="7" t="s">
        <v>194</v>
      </c>
    </row>
    <row r="48" spans="1:15" x14ac:dyDescent="0.25">
      <c r="A48">
        <f>D20-D21</f>
        <v>109.80000000000001</v>
      </c>
      <c r="B48" t="s">
        <v>41</v>
      </c>
      <c r="C48" t="s">
        <v>197</v>
      </c>
    </row>
    <row r="49" spans="1:4" x14ac:dyDescent="0.25">
      <c r="A49">
        <f>F21/A48</f>
        <v>46.867030965391614</v>
      </c>
      <c r="B49" t="s">
        <v>135</v>
      </c>
      <c r="C49" t="s">
        <v>186</v>
      </c>
    </row>
    <row r="50" spans="1:4" x14ac:dyDescent="0.25">
      <c r="D50" t="s">
        <v>187</v>
      </c>
    </row>
    <row r="51" spans="1:4" x14ac:dyDescent="0.25">
      <c r="A51">
        <f>D21/F21</f>
        <v>6.1173727166731445E-2</v>
      </c>
      <c r="B51" t="s">
        <v>142</v>
      </c>
      <c r="C51" t="s">
        <v>193</v>
      </c>
    </row>
    <row r="52" spans="1:4" x14ac:dyDescent="0.25">
      <c r="A52" s="125">
        <f>D21/A48</f>
        <v>2.8670309653916211</v>
      </c>
      <c r="B52" t="s">
        <v>139</v>
      </c>
      <c r="C52" t="s">
        <v>188</v>
      </c>
    </row>
    <row r="53" spans="1:4" x14ac:dyDescent="0.25">
      <c r="D53" t="s">
        <v>189</v>
      </c>
    </row>
    <row r="54" spans="1:4" x14ac:dyDescent="0.25">
      <c r="A54">
        <f>A48-E21</f>
        <v>77.580000000000013</v>
      </c>
      <c r="B54" t="s">
        <v>199</v>
      </c>
      <c r="C54" t="s">
        <v>200</v>
      </c>
    </row>
    <row r="55" spans="1:4" x14ac:dyDescent="0.25">
      <c r="D55" t="s">
        <v>198</v>
      </c>
    </row>
    <row r="56" spans="1:4" x14ac:dyDescent="0.25">
      <c r="A56">
        <f>F21/A54</f>
        <v>66.331528744521776</v>
      </c>
      <c r="B56" t="s">
        <v>135</v>
      </c>
      <c r="C56" t="s">
        <v>201</v>
      </c>
    </row>
    <row r="58" spans="1:4" x14ac:dyDescent="0.25">
      <c r="A58" s="7" t="s">
        <v>195</v>
      </c>
    </row>
    <row r="59" spans="1:4" x14ac:dyDescent="0.25">
      <c r="A59">
        <f>D22/F22</f>
        <v>8.0738581146744412E-2</v>
      </c>
      <c r="B59" t="s">
        <v>142</v>
      </c>
      <c r="C59" t="s">
        <v>268</v>
      </c>
    </row>
    <row r="60" spans="1:4" x14ac:dyDescent="0.25">
      <c r="D60" t="s">
        <v>196</v>
      </c>
    </row>
    <row r="61" spans="1:4" x14ac:dyDescent="0.25">
      <c r="A61" s="125">
        <f>A59*A49</f>
        <v>3.7839775827062541</v>
      </c>
      <c r="B61" t="s">
        <v>139</v>
      </c>
      <c r="C61" t="s">
        <v>191</v>
      </c>
    </row>
    <row r="62" spans="1:4" x14ac:dyDescent="0.25">
      <c r="D62" t="s">
        <v>192</v>
      </c>
    </row>
  </sheetData>
  <mergeCells count="2">
    <mergeCell ref="A15:E15"/>
    <mergeCell ref="A19:E1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9"/>
  <sheetViews>
    <sheetView topLeftCell="AA1" workbookViewId="0">
      <selection activeCell="AE21" sqref="AE21"/>
    </sheetView>
  </sheetViews>
  <sheetFormatPr defaultRowHeight="15" x14ac:dyDescent="0.25"/>
  <cols>
    <col min="3" max="3" width="12" customWidth="1"/>
    <col min="25" max="25" width="10.85546875" customWidth="1"/>
    <col min="30" max="30" width="9.140625" style="111"/>
  </cols>
  <sheetData>
    <row r="1" spans="1:53" x14ac:dyDescent="0.25">
      <c r="A1" t="s">
        <v>223</v>
      </c>
      <c r="O1" t="s">
        <v>219</v>
      </c>
      <c r="AE1" s="59" t="s">
        <v>285</v>
      </c>
    </row>
    <row r="2" spans="1:53" x14ac:dyDescent="0.25">
      <c r="P2" t="s">
        <v>220</v>
      </c>
      <c r="AE2" s="59" t="s">
        <v>286</v>
      </c>
    </row>
    <row r="3" spans="1:53" x14ac:dyDescent="0.25">
      <c r="A3" t="s">
        <v>228</v>
      </c>
      <c r="P3" t="s">
        <v>257</v>
      </c>
      <c r="AE3" s="97">
        <f>A6</f>
        <v>314.8</v>
      </c>
      <c r="AF3" s="97" t="s">
        <v>399</v>
      </c>
      <c r="AU3" t="s">
        <v>361</v>
      </c>
    </row>
    <row r="4" spans="1:53" x14ac:dyDescent="0.25">
      <c r="A4" s="59" t="s">
        <v>225</v>
      </c>
      <c r="P4" t="s">
        <v>221</v>
      </c>
      <c r="AE4">
        <f>AE3/(1-AE6)</f>
        <v>424.59999999999997</v>
      </c>
      <c r="AF4" t="s">
        <v>400</v>
      </c>
      <c r="AU4" t="s">
        <v>362</v>
      </c>
    </row>
    <row r="5" spans="1:53" x14ac:dyDescent="0.25">
      <c r="A5" t="s">
        <v>183</v>
      </c>
      <c r="B5" t="s">
        <v>237</v>
      </c>
      <c r="P5" t="s">
        <v>222</v>
      </c>
      <c r="V5" s="7"/>
      <c r="AE5" s="106">
        <v>0.11</v>
      </c>
      <c r="AF5" t="s">
        <v>290</v>
      </c>
      <c r="AV5" t="s">
        <v>229</v>
      </c>
      <c r="AW5">
        <v>0</v>
      </c>
      <c r="AX5">
        <v>1</v>
      </c>
      <c r="AY5">
        <v>2</v>
      </c>
      <c r="AZ5">
        <v>3</v>
      </c>
    </row>
    <row r="6" spans="1:53" x14ac:dyDescent="0.25">
      <c r="A6">
        <f>B6</f>
        <v>314.8</v>
      </c>
      <c r="B6">
        <f>ParameterEstimation450MWPlant!D21</f>
        <v>314.8</v>
      </c>
      <c r="C6" t="s">
        <v>41</v>
      </c>
      <c r="D6" t="s">
        <v>224</v>
      </c>
      <c r="AE6" s="106">
        <f>ParameterEstimation450MWPlant!H21</f>
        <v>0.25859632595383891</v>
      </c>
      <c r="AF6" t="s">
        <v>291</v>
      </c>
      <c r="AV6" s="105" t="s">
        <v>293</v>
      </c>
    </row>
    <row r="7" spans="1:53" x14ac:dyDescent="0.25">
      <c r="A7">
        <f>B7</f>
        <v>109.80000000000001</v>
      </c>
      <c r="B7">
        <f>ParameterEstimation450MWPlant!D20-ParameterEstimation450MWPlant!D21</f>
        <v>109.80000000000001</v>
      </c>
      <c r="C7" t="s">
        <v>41</v>
      </c>
      <c r="D7" t="s">
        <v>236</v>
      </c>
      <c r="T7" t="s">
        <v>229</v>
      </c>
      <c r="U7">
        <v>0</v>
      </c>
      <c r="V7">
        <v>1</v>
      </c>
      <c r="W7">
        <v>2</v>
      </c>
      <c r="X7">
        <v>3</v>
      </c>
      <c r="AE7" s="106">
        <f>AE6-AE5</f>
        <v>0.14859632595383893</v>
      </c>
      <c r="AF7" t="s">
        <v>292</v>
      </c>
      <c r="AV7" s="99" t="s">
        <v>295</v>
      </c>
      <c r="AW7">
        <f>AE3</f>
        <v>314.8</v>
      </c>
      <c r="AX7">
        <f>AE3</f>
        <v>314.8</v>
      </c>
      <c r="AY7">
        <f>AE3</f>
        <v>314.8</v>
      </c>
      <c r="AZ7">
        <f>AE3</f>
        <v>314.8</v>
      </c>
    </row>
    <row r="8" spans="1:53" x14ac:dyDescent="0.25">
      <c r="A8">
        <f>B8</f>
        <v>5146</v>
      </c>
      <c r="B8">
        <f>ParameterEstimation450MWPlant!F21</f>
        <v>5146</v>
      </c>
      <c r="C8" t="s">
        <v>42</v>
      </c>
      <c r="D8" t="s">
        <v>227</v>
      </c>
      <c r="T8" s="105" t="s">
        <v>230</v>
      </c>
      <c r="AE8">
        <f>AE3*A9/A6</f>
        <v>32.22</v>
      </c>
      <c r="AF8" t="s">
        <v>301</v>
      </c>
      <c r="AV8" s="99"/>
      <c r="AZ8">
        <f>SUM(AW7:AZ7)</f>
        <v>1259.2</v>
      </c>
      <c r="BA8" s="59" t="s">
        <v>305</v>
      </c>
    </row>
    <row r="9" spans="1:53" x14ac:dyDescent="0.25">
      <c r="A9">
        <f>B9</f>
        <v>32.22</v>
      </c>
      <c r="B9">
        <f>ParameterEstimation450MWPlant!E21</f>
        <v>32.22</v>
      </c>
      <c r="C9" t="s">
        <v>41</v>
      </c>
      <c r="D9" t="s">
        <v>166</v>
      </c>
      <c r="P9" s="59"/>
      <c r="T9" s="99" t="s">
        <v>238</v>
      </c>
      <c r="U9" s="97">
        <f>A6</f>
        <v>314.8</v>
      </c>
      <c r="V9" s="97">
        <f>A6</f>
        <v>314.8</v>
      </c>
      <c r="W9" s="97">
        <f>A6</f>
        <v>314.8</v>
      </c>
      <c r="X9" s="97">
        <f>A6</f>
        <v>314.8</v>
      </c>
      <c r="AE9" s="125">
        <f>A6/A9</f>
        <v>9.7703289882060833</v>
      </c>
      <c r="AF9" t="s">
        <v>323</v>
      </c>
      <c r="AV9" s="105" t="s">
        <v>354</v>
      </c>
    </row>
    <row r="10" spans="1:53" x14ac:dyDescent="0.25">
      <c r="A10">
        <f>A7-A9</f>
        <v>77.580000000000013</v>
      </c>
      <c r="B10" t="s">
        <v>45</v>
      </c>
      <c r="C10" t="s">
        <v>41</v>
      </c>
      <c r="D10" t="s">
        <v>231</v>
      </c>
      <c r="T10" s="99" t="s">
        <v>239</v>
      </c>
      <c r="U10" s="97">
        <f>A8</f>
        <v>5146</v>
      </c>
      <c r="V10" s="97">
        <f>A8</f>
        <v>5146</v>
      </c>
      <c r="W10" s="97">
        <f>A8</f>
        <v>5146</v>
      </c>
      <c r="X10" s="97">
        <f>A8</f>
        <v>5146</v>
      </c>
      <c r="AE10" s="106">
        <v>0.2</v>
      </c>
      <c r="AF10" t="s">
        <v>304</v>
      </c>
      <c r="AV10" s="99" t="s">
        <v>295</v>
      </c>
      <c r="AW10">
        <f>AW13*$AE$9</f>
        <v>314.8</v>
      </c>
      <c r="AX10">
        <f>AX13*$AE$9</f>
        <v>62.959999999999994</v>
      </c>
      <c r="AY10">
        <f>AY13*$AE$9</f>
        <v>314.8</v>
      </c>
      <c r="AZ10">
        <f>AZ19-AZ16</f>
        <v>130.30736140678957</v>
      </c>
    </row>
    <row r="11" spans="1:53" x14ac:dyDescent="0.25">
      <c r="A11">
        <f>B11</f>
        <v>2.1336960746210651E-2</v>
      </c>
      <c r="B11">
        <f>1/ParameterEstimation450MWPlant!A49</f>
        <v>2.1336960746210651E-2</v>
      </c>
      <c r="C11" t="s">
        <v>249</v>
      </c>
      <c r="D11" t="s">
        <v>248</v>
      </c>
      <c r="T11" s="99" t="s">
        <v>235</v>
      </c>
      <c r="U11" s="97">
        <f>A9</f>
        <v>32.22</v>
      </c>
      <c r="V11" s="97">
        <f>A9</f>
        <v>32.22</v>
      </c>
      <c r="W11" s="97">
        <f>A9</f>
        <v>32.22</v>
      </c>
      <c r="X11" s="97">
        <f>A9</f>
        <v>32.22</v>
      </c>
      <c r="AE11">
        <f>AE10*AE3</f>
        <v>62.960000000000008</v>
      </c>
      <c r="AF11" t="s">
        <v>306</v>
      </c>
      <c r="AV11" s="99" t="s">
        <v>294</v>
      </c>
      <c r="AW11">
        <v>0</v>
      </c>
      <c r="AX11">
        <f>AE30</f>
        <v>19.116934487021013</v>
      </c>
      <c r="AY11">
        <v>0</v>
      </c>
      <c r="AZ11">
        <v>0</v>
      </c>
    </row>
    <row r="12" spans="1:53" x14ac:dyDescent="0.25">
      <c r="A12">
        <f>B12</f>
        <v>6.1173727166731445E-2</v>
      </c>
      <c r="B12">
        <f>ParameterEstimation450MWPlant!A51</f>
        <v>6.1173727166731445E-2</v>
      </c>
      <c r="C12" t="s">
        <v>249</v>
      </c>
      <c r="D12" t="s">
        <v>253</v>
      </c>
      <c r="T12" s="99" t="s">
        <v>234</v>
      </c>
      <c r="U12" s="97">
        <f>A10</f>
        <v>77.580000000000013</v>
      </c>
      <c r="V12" s="97">
        <f>A10</f>
        <v>77.580000000000013</v>
      </c>
      <c r="W12" s="97">
        <f>A10</f>
        <v>77.580000000000013</v>
      </c>
      <c r="X12" s="97">
        <f>A10</f>
        <v>77.580000000000013</v>
      </c>
      <c r="AE12">
        <f>(ParameterEstimation450MWPlant!F21/ParameterEstimation450MWPlant!E21)</f>
        <v>159.71446306641838</v>
      </c>
      <c r="AF12" t="s">
        <v>344</v>
      </c>
      <c r="AV12" s="99" t="s">
        <v>300</v>
      </c>
      <c r="AW12">
        <f>$AE$8-AW11</f>
        <v>32.22</v>
      </c>
      <c r="AX12">
        <f>$AE$8-AX11</f>
        <v>13.103065512978986</v>
      </c>
      <c r="AY12">
        <f>$AE$8-AY11</f>
        <v>32.22</v>
      </c>
      <c r="AZ12">
        <f>AZ10/AE9</f>
        <v>13.337049506120584</v>
      </c>
    </row>
    <row r="13" spans="1:53" x14ac:dyDescent="0.25">
      <c r="A13">
        <f>A10/(A9+A10)</f>
        <v>0.70655737704918042</v>
      </c>
      <c r="B13" t="s">
        <v>45</v>
      </c>
      <c r="C13" t="s">
        <v>139</v>
      </c>
      <c r="D13" t="s">
        <v>259</v>
      </c>
      <c r="T13" s="99" t="s">
        <v>233</v>
      </c>
      <c r="U13" s="97">
        <f>U12+U11</f>
        <v>109.80000000000001</v>
      </c>
      <c r="V13" s="97">
        <f>V12+V11</f>
        <v>109.80000000000001</v>
      </c>
      <c r="W13" s="97">
        <f>W12+W11</f>
        <v>109.80000000000001</v>
      </c>
      <c r="X13" s="97">
        <f>X12+X11</f>
        <v>109.80000000000001</v>
      </c>
      <c r="AE13">
        <f>V46</f>
        <v>0.34833333333333338</v>
      </c>
      <c r="AF13" s="113" t="s">
        <v>386</v>
      </c>
      <c r="AV13" s="99" t="s">
        <v>388</v>
      </c>
      <c r="AW13">
        <f>AW12-AW14</f>
        <v>32.22</v>
      </c>
      <c r="AX13">
        <f>AX12-AX14</f>
        <v>6.4439999999999991</v>
      </c>
      <c r="AY13">
        <f>AY12-AY14</f>
        <v>32.22</v>
      </c>
      <c r="AZ13">
        <f>AZ12-AZ14</f>
        <v>13.337049506120584</v>
      </c>
    </row>
    <row r="14" spans="1:53" x14ac:dyDescent="0.25">
      <c r="A14">
        <f>A9/(A10+A9)</f>
        <v>0.29344262295081963</v>
      </c>
      <c r="B14" t="s">
        <v>45</v>
      </c>
      <c r="C14" t="s">
        <v>139</v>
      </c>
      <c r="D14" t="s">
        <v>260</v>
      </c>
      <c r="T14" s="99"/>
      <c r="U14" s="97"/>
      <c r="W14" s="97"/>
      <c r="X14">
        <f>SUM(U9:X9)</f>
        <v>1259.2</v>
      </c>
      <c r="Y14" s="59" t="s">
        <v>267</v>
      </c>
      <c r="AG14" t="s">
        <v>387</v>
      </c>
      <c r="AV14" s="99" t="s">
        <v>389</v>
      </c>
      <c r="AW14">
        <v>0</v>
      </c>
      <c r="AX14">
        <f>AX11*AE13</f>
        <v>6.6590655129789873</v>
      </c>
      <c r="AY14">
        <v>0</v>
      </c>
      <c r="AZ14">
        <v>0</v>
      </c>
    </row>
    <row r="15" spans="1:53" x14ac:dyDescent="0.25">
      <c r="A15">
        <f>B15</f>
        <v>9.7703289882060833</v>
      </c>
      <c r="B15">
        <f>ParameterEstimation450MWPlant!D21/ParameterEstimation450MWPlant!E21</f>
        <v>9.7703289882060833</v>
      </c>
      <c r="C15" t="s">
        <v>139</v>
      </c>
      <c r="D15" t="s">
        <v>349</v>
      </c>
      <c r="T15" s="105" t="s">
        <v>232</v>
      </c>
      <c r="U15" s="97"/>
      <c r="V15" s="97"/>
      <c r="W15" s="97"/>
      <c r="X15" s="97"/>
      <c r="Z15" s="7" t="s">
        <v>279</v>
      </c>
      <c r="AE15" s="59" t="s">
        <v>288</v>
      </c>
      <c r="AK15" s="99"/>
      <c r="AV15" s="99" t="s">
        <v>356</v>
      </c>
      <c r="AW15">
        <f>SUM(AW11:AW12)*$AE$12</f>
        <v>5146</v>
      </c>
      <c r="AX15">
        <f>SUM(AX11:AX12)*$AE$12</f>
        <v>5146</v>
      </c>
      <c r="AY15">
        <f>SUM(AY11:AY12)*$AE$12</f>
        <v>5146</v>
      </c>
      <c r="AZ15">
        <f>SUM(AZ11:AZ12)*$AE$12</f>
        <v>2130.1197007602896</v>
      </c>
    </row>
    <row r="16" spans="1:53" x14ac:dyDescent="0.25">
      <c r="A16">
        <f>B16</f>
        <v>12.119642016015073</v>
      </c>
      <c r="B16">
        <f>ParameterEstimation450MWPlant!F21/(ParameterEstimation450MWPlant!D21+ParameterEstimation450MWPlant!A48)</f>
        <v>12.119642016015073</v>
      </c>
      <c r="C16" t="s">
        <v>372</v>
      </c>
      <c r="D16" t="s">
        <v>373</v>
      </c>
      <c r="T16" s="99" t="s">
        <v>264</v>
      </c>
      <c r="U16" s="97">
        <f>A6</f>
        <v>314.8</v>
      </c>
      <c r="V16" s="97">
        <f>V20*A12</f>
        <v>67.352273610571316</v>
      </c>
      <c r="W16" s="97">
        <f>A6</f>
        <v>314.8</v>
      </c>
      <c r="X16" s="97">
        <f>X20*A12</f>
        <v>131.27881849980568</v>
      </c>
      <c r="Y16" t="s">
        <v>281</v>
      </c>
      <c r="Z16">
        <f>Z19*A12</f>
        <v>0</v>
      </c>
      <c r="AE16" s="7" t="s">
        <v>298</v>
      </c>
      <c r="AK16" s="99"/>
      <c r="AV16" s="99" t="s">
        <v>296</v>
      </c>
      <c r="AW16">
        <v>0</v>
      </c>
      <c r="AX16">
        <v>0</v>
      </c>
      <c r="AY16">
        <v>0</v>
      </c>
      <c r="AZ16">
        <f>AX11*AE21</f>
        <v>246.98826206431639</v>
      </c>
      <c r="BA16" s="108"/>
    </row>
    <row r="17" spans="1:53" x14ac:dyDescent="0.25">
      <c r="T17" s="99" t="s">
        <v>265</v>
      </c>
      <c r="U17">
        <v>0</v>
      </c>
      <c r="V17">
        <v>0</v>
      </c>
      <c r="W17">
        <v>0</v>
      </c>
      <c r="X17">
        <f>$A$29*X23</f>
        <v>242.21574344023324</v>
      </c>
      <c r="Y17" t="s">
        <v>282</v>
      </c>
      <c r="Z17">
        <f>$A$29*Z21</f>
        <v>415.48073858114674</v>
      </c>
      <c r="AE17" s="106">
        <v>0.9</v>
      </c>
      <c r="AF17" t="s">
        <v>58</v>
      </c>
      <c r="AK17" s="99"/>
      <c r="AV17" s="99" t="s">
        <v>357</v>
      </c>
      <c r="AW17">
        <f>AW16/$A$29</f>
        <v>0</v>
      </c>
      <c r="AX17">
        <f>AX16/$A$29</f>
        <v>0</v>
      </c>
      <c r="AY17">
        <f>AY16/$A$29</f>
        <v>0</v>
      </c>
      <c r="AZ17">
        <f>AZ16/$A$29</f>
        <v>3059.1107566704568</v>
      </c>
    </row>
    <row r="18" spans="1:53" x14ac:dyDescent="0.25">
      <c r="T18" s="99" t="s">
        <v>266</v>
      </c>
      <c r="U18">
        <f>U17+U16</f>
        <v>314.8</v>
      </c>
      <c r="V18">
        <f>V17+V16</f>
        <v>67.352273610571316</v>
      </c>
      <c r="W18">
        <f>W17+W16</f>
        <v>314.8</v>
      </c>
      <c r="X18">
        <f>X17+X16</f>
        <v>373.49456194003892</v>
      </c>
      <c r="Y18" s="97" t="s">
        <v>278</v>
      </c>
      <c r="Z18">
        <f>Z17+Z16</f>
        <v>415.48073858114674</v>
      </c>
      <c r="AE18" s="107">
        <f>(AE17*AE5+AE7)/AE6</f>
        <v>0.95746265938069219</v>
      </c>
      <c r="AF18" t="s">
        <v>59</v>
      </c>
      <c r="AK18" s="99"/>
      <c r="AV18" s="99" t="s">
        <v>359</v>
      </c>
      <c r="AW18">
        <v>0</v>
      </c>
      <c r="AX18">
        <v>0</v>
      </c>
      <c r="AY18">
        <v>0</v>
      </c>
      <c r="AZ18" s="108">
        <f>AZ17/AY15</f>
        <v>0.59446380813650546</v>
      </c>
    </row>
    <row r="19" spans="1:53" x14ac:dyDescent="0.25">
      <c r="A19" s="59" t="s">
        <v>226</v>
      </c>
      <c r="T19" s="99" t="s">
        <v>378</v>
      </c>
      <c r="U19" s="97">
        <f>A8</f>
        <v>5146</v>
      </c>
      <c r="V19" s="97">
        <f>U19-V22</f>
        <v>2146</v>
      </c>
      <c r="W19" s="97">
        <f>W10</f>
        <v>5146</v>
      </c>
      <c r="X19" s="97">
        <f>W24-X23</f>
        <v>2146</v>
      </c>
      <c r="Y19" s="97" t="s">
        <v>284</v>
      </c>
      <c r="Z19">
        <f>W24-Z21</f>
        <v>0</v>
      </c>
      <c r="AE19">
        <f>A30</f>
        <v>3.7839775827062541</v>
      </c>
      <c r="AF19" t="s">
        <v>307</v>
      </c>
      <c r="AK19" s="99"/>
      <c r="AV19" s="99" t="s">
        <v>360</v>
      </c>
      <c r="AW19">
        <f>AW18*$AE$23</f>
        <v>0</v>
      </c>
      <c r="AX19">
        <f>AX18*$AE$23</f>
        <v>0</v>
      </c>
      <c r="AY19">
        <f>AY18*$AE$23</f>
        <v>0</v>
      </c>
      <c r="AZ19">
        <f>AZ18*($AE$23-$AE$3)+$AE$3</f>
        <v>377.29562347110596</v>
      </c>
    </row>
    <row r="20" spans="1:53" x14ac:dyDescent="0.25">
      <c r="A20" t="s">
        <v>183</v>
      </c>
      <c r="B20" t="s">
        <v>237</v>
      </c>
      <c r="T20" s="99" t="s">
        <v>379</v>
      </c>
      <c r="U20">
        <f>U19</f>
        <v>5146</v>
      </c>
      <c r="V20">
        <f>2146-776-200-52-14-3</f>
        <v>1101</v>
      </c>
      <c r="W20">
        <f>W19</f>
        <v>5146</v>
      </c>
      <c r="X20">
        <f>X19</f>
        <v>2146</v>
      </c>
      <c r="Z20">
        <v>0</v>
      </c>
      <c r="AF20" t="s">
        <v>321</v>
      </c>
      <c r="AK20" s="99"/>
      <c r="AV20" s="99" t="s">
        <v>358</v>
      </c>
      <c r="AW20">
        <f>AW17+AW15</f>
        <v>5146</v>
      </c>
      <c r="AX20">
        <f>AX17+AX15</f>
        <v>5146</v>
      </c>
      <c r="AY20">
        <f>AY17+AY15</f>
        <v>5146</v>
      </c>
      <c r="AZ20">
        <f>AZ17+AZ15</f>
        <v>5189.2304574307464</v>
      </c>
    </row>
    <row r="21" spans="1:53" x14ac:dyDescent="0.25">
      <c r="A21">
        <f>B21</f>
        <v>415.4</v>
      </c>
      <c r="B21">
        <f>ParameterEstimation450MWPlant!D22</f>
        <v>415.4</v>
      </c>
      <c r="C21" t="s">
        <v>41</v>
      </c>
      <c r="D21" t="s">
        <v>224</v>
      </c>
      <c r="T21" s="99" t="s">
        <v>380</v>
      </c>
      <c r="U21">
        <f>U19-U20</f>
        <v>0</v>
      </c>
      <c r="V21" s="110">
        <f>V19-V20</f>
        <v>1045</v>
      </c>
      <c r="W21">
        <f>W19-W20</f>
        <v>0</v>
      </c>
      <c r="X21">
        <f>X19-X20</f>
        <v>0</v>
      </c>
      <c r="Y21" t="s">
        <v>283</v>
      </c>
      <c r="Z21">
        <v>5146</v>
      </c>
      <c r="AE21" s="134">
        <f>AE19*(1+ParameterEstimation450MWPlant!AD12)</f>
        <v>12.919867577722945</v>
      </c>
      <c r="AF21" s="109" t="s">
        <v>324</v>
      </c>
      <c r="AK21" s="99"/>
      <c r="AV21" s="99" t="s">
        <v>302</v>
      </c>
      <c r="AW21">
        <v>0</v>
      </c>
      <c r="AX21">
        <v>0</v>
      </c>
      <c r="AY21">
        <v>0</v>
      </c>
      <c r="AZ21">
        <f>AX11</f>
        <v>19.116934487021013</v>
      </c>
    </row>
    <row r="22" spans="1:53" x14ac:dyDescent="0.25">
      <c r="A22">
        <f>B22</f>
        <v>5145</v>
      </c>
      <c r="B22">
        <f>ParameterEstimation450MWPlant!F22</f>
        <v>5145</v>
      </c>
      <c r="C22" t="s">
        <v>42</v>
      </c>
      <c r="D22" t="s">
        <v>227</v>
      </c>
      <c r="T22" s="99" t="s">
        <v>262</v>
      </c>
      <c r="U22" s="97">
        <v>0</v>
      </c>
      <c r="V22" s="97">
        <f>A25</f>
        <v>3000</v>
      </c>
      <c r="W22" s="97">
        <v>0</v>
      </c>
      <c r="X22" s="97">
        <v>0</v>
      </c>
      <c r="Y22" t="s">
        <v>280</v>
      </c>
      <c r="Z22">
        <f>Z19+Z21</f>
        <v>5146</v>
      </c>
      <c r="AF22" s="109" t="s">
        <v>325</v>
      </c>
      <c r="AK22" s="99"/>
      <c r="AV22" s="99" t="s">
        <v>303</v>
      </c>
      <c r="AW22">
        <v>0</v>
      </c>
      <c r="AX22">
        <v>0</v>
      </c>
      <c r="AY22">
        <v>0</v>
      </c>
      <c r="AZ22">
        <f>AZ16-AZ21</f>
        <v>227.87132757729538</v>
      </c>
    </row>
    <row r="23" spans="1:53" x14ac:dyDescent="0.25">
      <c r="A23">
        <f>B23</f>
        <v>3.8250000000000002</v>
      </c>
      <c r="B23">
        <f>ParameterEstimation450MWPlant!E22</f>
        <v>3.8250000000000002</v>
      </c>
      <c r="C23" t="s">
        <v>41</v>
      </c>
      <c r="D23" t="s">
        <v>166</v>
      </c>
      <c r="T23" s="99" t="s">
        <v>263</v>
      </c>
      <c r="U23" s="97">
        <v>0</v>
      </c>
      <c r="V23" s="97">
        <v>0</v>
      </c>
      <c r="W23" s="97">
        <v>0</v>
      </c>
      <c r="X23" s="97">
        <f>W26</f>
        <v>3000</v>
      </c>
      <c r="Z23">
        <f>Z21</f>
        <v>5146</v>
      </c>
      <c r="AE23">
        <f>AE3+(AE4-AE3)*AE18</f>
        <v>419.92939999999999</v>
      </c>
      <c r="AF23" t="s">
        <v>308</v>
      </c>
      <c r="AV23" s="99" t="s">
        <v>322</v>
      </c>
      <c r="AW23">
        <f>AW16+AW10</f>
        <v>314.8</v>
      </c>
      <c r="AX23">
        <f>AX16+AX10</f>
        <v>62.959999999999994</v>
      </c>
      <c r="AY23">
        <f>AY16+AY10</f>
        <v>314.8</v>
      </c>
      <c r="AZ23">
        <f>AZ16+AZ10</f>
        <v>377.29562347110596</v>
      </c>
    </row>
    <row r="24" spans="1:53" x14ac:dyDescent="0.25">
      <c r="A24">
        <v>0</v>
      </c>
      <c r="B24" t="s">
        <v>45</v>
      </c>
      <c r="C24" t="s">
        <v>41</v>
      </c>
      <c r="D24" t="s">
        <v>231</v>
      </c>
      <c r="T24" s="99" t="s">
        <v>275</v>
      </c>
      <c r="U24">
        <f>U19+U23</f>
        <v>5146</v>
      </c>
      <c r="V24">
        <f>V19+V23</f>
        <v>2146</v>
      </c>
      <c r="W24">
        <f>W19+W23</f>
        <v>5146</v>
      </c>
      <c r="X24">
        <f>X19+X23</f>
        <v>5146</v>
      </c>
      <c r="Z24">
        <v>0</v>
      </c>
      <c r="AZ24">
        <f>SUM(AW23:AZ23)</f>
        <v>1069.8556234711059</v>
      </c>
      <c r="BA24" s="59" t="s">
        <v>305</v>
      </c>
    </row>
    <row r="25" spans="1:53" x14ac:dyDescent="0.25">
      <c r="A25">
        <v>3000</v>
      </c>
      <c r="B25" t="s">
        <v>45</v>
      </c>
      <c r="C25" t="s">
        <v>42</v>
      </c>
      <c r="D25" t="s">
        <v>252</v>
      </c>
      <c r="T25" s="99" t="s">
        <v>240</v>
      </c>
      <c r="U25" s="97">
        <f>A26</f>
        <v>3000</v>
      </c>
      <c r="V25" s="97">
        <f>U25-V22</f>
        <v>0</v>
      </c>
      <c r="W25" s="97">
        <f>V25</f>
        <v>0</v>
      </c>
      <c r="X25" s="97">
        <f>X23</f>
        <v>3000</v>
      </c>
      <c r="Z25" s="97">
        <f>Z19*$A$28</f>
        <v>0</v>
      </c>
      <c r="AE25" s="97" t="s">
        <v>332</v>
      </c>
      <c r="AZ25">
        <f>(AZ24-AZ8)/AZ8</f>
        <v>-0.1503687869511548</v>
      </c>
      <c r="BA25" s="59" t="s">
        <v>402</v>
      </c>
    </row>
    <row r="26" spans="1:53" x14ac:dyDescent="0.25">
      <c r="A26">
        <v>3000</v>
      </c>
      <c r="B26" t="s">
        <v>45</v>
      </c>
      <c r="C26" t="s">
        <v>42</v>
      </c>
      <c r="D26" t="s">
        <v>251</v>
      </c>
      <c r="T26" s="99" t="s">
        <v>241</v>
      </c>
      <c r="U26" s="97">
        <f>A27</f>
        <v>0</v>
      </c>
      <c r="V26" s="97">
        <f>U26+V22</f>
        <v>3000</v>
      </c>
      <c r="W26" s="97">
        <f>V26</f>
        <v>3000</v>
      </c>
      <c r="X26" s="97">
        <v>0</v>
      </c>
      <c r="Z26" s="97">
        <f>Z25*$A$14</f>
        <v>0</v>
      </c>
      <c r="AE26" t="s">
        <v>333</v>
      </c>
      <c r="AV26" s="105" t="s">
        <v>355</v>
      </c>
    </row>
    <row r="27" spans="1:53" x14ac:dyDescent="0.25">
      <c r="A27">
        <v>0</v>
      </c>
      <c r="B27" t="s">
        <v>45</v>
      </c>
      <c r="C27" t="s">
        <v>42</v>
      </c>
      <c r="D27" t="s">
        <v>250</v>
      </c>
      <c r="T27" s="99" t="s">
        <v>261</v>
      </c>
      <c r="U27" s="97">
        <f>U19*$A$28</f>
        <v>109.80000000000001</v>
      </c>
      <c r="V27" s="97">
        <f>V19*$A$28</f>
        <v>45.789117761368054</v>
      </c>
      <c r="W27" s="97">
        <f>W19*$A$28</f>
        <v>109.80000000000001</v>
      </c>
      <c r="X27" s="97">
        <f>X19*$A$28</f>
        <v>45.789117761368054</v>
      </c>
      <c r="Z27" s="97">
        <f>Z25*$A$13</f>
        <v>0</v>
      </c>
      <c r="AE27" t="s">
        <v>334</v>
      </c>
      <c r="AV27" s="99" t="s">
        <v>295</v>
      </c>
      <c r="AW27">
        <f>AE3</f>
        <v>314.8</v>
      </c>
      <c r="AX27">
        <f>AX30*$AE$9</f>
        <v>62.959999999999994</v>
      </c>
      <c r="AY27">
        <f>AE3</f>
        <v>314.8</v>
      </c>
      <c r="AZ27">
        <f>AE3</f>
        <v>314.8</v>
      </c>
    </row>
    <row r="28" spans="1:53" x14ac:dyDescent="0.25">
      <c r="A28">
        <f>A11</f>
        <v>2.1336960746210651E-2</v>
      </c>
      <c r="B28" t="s">
        <v>45</v>
      </c>
      <c r="C28" t="s">
        <v>249</v>
      </c>
      <c r="D28" t="s">
        <v>254</v>
      </c>
      <c r="T28" s="99" t="s">
        <v>244</v>
      </c>
      <c r="U28" s="97">
        <f>U27*$A$14</f>
        <v>32.22</v>
      </c>
      <c r="V28" s="97">
        <f>V27*$A$14</f>
        <v>13.436478818499804</v>
      </c>
      <c r="W28" s="97">
        <f>W27*$A$14</f>
        <v>32.22</v>
      </c>
      <c r="X28" s="97">
        <f>X27*$A$14</f>
        <v>13.436478818499804</v>
      </c>
      <c r="Z28" s="97">
        <f>Z20*$A$28</f>
        <v>0</v>
      </c>
      <c r="AE28" t="s">
        <v>335</v>
      </c>
      <c r="AV28" s="99" t="s">
        <v>294</v>
      </c>
      <c r="AW28">
        <v>0</v>
      </c>
      <c r="AX28">
        <f>AE46</f>
        <v>4.7859279499359335</v>
      </c>
      <c r="AY28">
        <v>0</v>
      </c>
      <c r="AZ28">
        <v>0</v>
      </c>
    </row>
    <row r="29" spans="1:53" x14ac:dyDescent="0.25">
      <c r="A29">
        <f>B29</f>
        <v>8.0738581146744412E-2</v>
      </c>
      <c r="B29">
        <f>ParameterEstimation450MWPlant!A59</f>
        <v>8.0738581146744412E-2</v>
      </c>
      <c r="C29" t="s">
        <v>249</v>
      </c>
      <c r="D29" t="s">
        <v>269</v>
      </c>
      <c r="T29" s="99" t="s">
        <v>247</v>
      </c>
      <c r="U29" s="97">
        <f>U27*$A$13</f>
        <v>77.580000000000013</v>
      </c>
      <c r="V29" s="97">
        <f>V27*$A$13</f>
        <v>32.352638942868253</v>
      </c>
      <c r="W29" s="97">
        <f>W27*$A$13</f>
        <v>77.580000000000013</v>
      </c>
      <c r="X29" s="97">
        <f>X27*$A$13</f>
        <v>32.352638942868253</v>
      </c>
      <c r="Z29" s="97">
        <f>Z28*$A$14</f>
        <v>0</v>
      </c>
      <c r="AE29" s="7" t="s">
        <v>336</v>
      </c>
      <c r="AV29" s="99" t="s">
        <v>300</v>
      </c>
      <c r="AW29">
        <f>$AE$8-AW28*$AE$47</f>
        <v>32.22</v>
      </c>
      <c r="AX29">
        <f>$AE$8-AX28*$AE$47</f>
        <v>13.103065512978986</v>
      </c>
      <c r="AY29">
        <f>$AE$8-AY28*$AE$47</f>
        <v>32.22</v>
      </c>
      <c r="AZ29">
        <f>$AE$8-AZ28*$AE$47</f>
        <v>32.22</v>
      </c>
    </row>
    <row r="30" spans="1:53" x14ac:dyDescent="0.25">
      <c r="A30">
        <f>B30</f>
        <v>3.7839775827062541</v>
      </c>
      <c r="B30">
        <f>ParameterEstimation450MWPlant!A61</f>
        <v>3.7839775827062541</v>
      </c>
      <c r="C30" t="s">
        <v>139</v>
      </c>
      <c r="D30" t="s">
        <v>255</v>
      </c>
      <c r="T30" s="99" t="s">
        <v>384</v>
      </c>
      <c r="U30">
        <f>U21*$A$28*$A$14</f>
        <v>0</v>
      </c>
      <c r="V30">
        <f>V21*$A$28*$A$14</f>
        <v>6.5429265448892338</v>
      </c>
      <c r="W30">
        <f>W21*$A$28*$A$14</f>
        <v>0</v>
      </c>
      <c r="X30">
        <f>X21*$A$28*$A$14</f>
        <v>0</v>
      </c>
      <c r="AE30" s="59">
        <f>AE8*(1-AE10)/(1+AE13)</f>
        <v>19.116934487021013</v>
      </c>
      <c r="AF30" t="s">
        <v>287</v>
      </c>
      <c r="AH30" t="s">
        <v>346</v>
      </c>
      <c r="AV30" s="99" t="s">
        <v>388</v>
      </c>
      <c r="AW30">
        <f>AW29-AW31</f>
        <v>32.22</v>
      </c>
      <c r="AX30">
        <f>AX29-AX31</f>
        <v>6.4439999999999991</v>
      </c>
      <c r="AY30">
        <f>AY29-AY31</f>
        <v>32.22</v>
      </c>
      <c r="AZ30">
        <f>AZ29-AZ31</f>
        <v>32.22</v>
      </c>
    </row>
    <row r="31" spans="1:53" x14ac:dyDescent="0.25">
      <c r="A31">
        <f>A26*A28</f>
        <v>64.01088223863195</v>
      </c>
      <c r="B31" t="s">
        <v>45</v>
      </c>
      <c r="C31" t="s">
        <v>199</v>
      </c>
      <c r="D31" t="s">
        <v>256</v>
      </c>
      <c r="T31" s="99" t="s">
        <v>258</v>
      </c>
      <c r="U31" s="97">
        <f>U22*$A$28</f>
        <v>0</v>
      </c>
      <c r="V31" s="97">
        <f>V22*$A$28</f>
        <v>64.01088223863195</v>
      </c>
      <c r="W31" s="97">
        <f>W22*$A$28</f>
        <v>0</v>
      </c>
      <c r="X31" s="97">
        <f>X22*$A$28</f>
        <v>0</v>
      </c>
      <c r="Z31" s="97">
        <f>Z28*$A$13</f>
        <v>0</v>
      </c>
      <c r="AF31" t="s">
        <v>309</v>
      </c>
      <c r="AV31" s="99" t="s">
        <v>389</v>
      </c>
      <c r="AW31">
        <v>0</v>
      </c>
      <c r="AX31">
        <f>AX28*AE13*AE47</f>
        <v>6.6590655129789873</v>
      </c>
      <c r="AY31">
        <v>0</v>
      </c>
      <c r="AZ31">
        <v>0</v>
      </c>
    </row>
    <row r="32" spans="1:53" x14ac:dyDescent="0.25">
      <c r="T32" s="99" t="s">
        <v>245</v>
      </c>
      <c r="U32" s="97">
        <f>U31*$A$14</f>
        <v>0</v>
      </c>
      <c r="V32" s="97">
        <f>V31*$A$14</f>
        <v>18.783521181500191</v>
      </c>
      <c r="W32" s="97">
        <f>W31*$A$14</f>
        <v>0</v>
      </c>
      <c r="X32" s="97">
        <f>X31*$A$14</f>
        <v>0</v>
      </c>
      <c r="Z32" s="97">
        <f>Z29+Z26</f>
        <v>0</v>
      </c>
      <c r="AF32" t="s">
        <v>310</v>
      </c>
      <c r="AV32" s="99" t="s">
        <v>296</v>
      </c>
      <c r="AW32">
        <v>0</v>
      </c>
      <c r="AX32">
        <v>0</v>
      </c>
      <c r="AY32">
        <v>0</v>
      </c>
      <c r="AZ32">
        <f>AX28*AE21</f>
        <v>61.83355534969531</v>
      </c>
    </row>
    <row r="33" spans="6:58" x14ac:dyDescent="0.25">
      <c r="T33" s="99" t="s">
        <v>246</v>
      </c>
      <c r="U33" s="97">
        <f>U31*$A$13</f>
        <v>0</v>
      </c>
      <c r="V33" s="97">
        <f>V31*$A$13</f>
        <v>45.227361057131759</v>
      </c>
      <c r="W33" s="97">
        <f>W31*$A$13</f>
        <v>0</v>
      </c>
      <c r="X33" s="97">
        <f>X31*$A$13</f>
        <v>0</v>
      </c>
      <c r="Z33" s="97">
        <f>Z31+Z27</f>
        <v>0</v>
      </c>
      <c r="AE33">
        <f>AE23/A29</f>
        <v>5201.0995739046703</v>
      </c>
      <c r="AF33" t="s">
        <v>340</v>
      </c>
      <c r="AV33" s="99" t="s">
        <v>302</v>
      </c>
      <c r="AW33">
        <v>0</v>
      </c>
      <c r="AX33">
        <v>0</v>
      </c>
      <c r="AY33">
        <v>0</v>
      </c>
      <c r="AZ33">
        <f>AX28</f>
        <v>4.7859279499359335</v>
      </c>
    </row>
    <row r="34" spans="6:58" x14ac:dyDescent="0.25">
      <c r="T34" s="99" t="s">
        <v>242</v>
      </c>
      <c r="U34" s="97">
        <f t="shared" ref="U34:X35" si="0">U32+U28</f>
        <v>32.22</v>
      </c>
      <c r="V34" s="97">
        <f t="shared" si="0"/>
        <v>32.22</v>
      </c>
      <c r="W34" s="97">
        <f t="shared" si="0"/>
        <v>32.22</v>
      </c>
      <c r="X34" s="97">
        <f t="shared" si="0"/>
        <v>13.436478818499804</v>
      </c>
      <c r="Z34" s="97">
        <f>Z33+Z32</f>
        <v>0</v>
      </c>
      <c r="AE34">
        <f>AE30*AE12</f>
        <v>3053.2509270704572</v>
      </c>
      <c r="AF34" t="s">
        <v>341</v>
      </c>
      <c r="AV34" s="99" t="s">
        <v>303</v>
      </c>
      <c r="AW34">
        <v>0</v>
      </c>
      <c r="AX34">
        <v>0</v>
      </c>
      <c r="AY34">
        <v>0</v>
      </c>
      <c r="AZ34">
        <f>AZ32-AZ33</f>
        <v>57.047627399759378</v>
      </c>
    </row>
    <row r="35" spans="6:58" x14ac:dyDescent="0.25">
      <c r="T35" s="99" t="s">
        <v>243</v>
      </c>
      <c r="U35" s="97">
        <f t="shared" si="0"/>
        <v>77.580000000000013</v>
      </c>
      <c r="V35" s="97">
        <f t="shared" si="0"/>
        <v>77.580000000000013</v>
      </c>
      <c r="W35" s="97">
        <f t="shared" si="0"/>
        <v>77.580000000000013</v>
      </c>
      <c r="X35" s="97">
        <f t="shared" si="0"/>
        <v>32.352638942868253</v>
      </c>
      <c r="AG35" t="s">
        <v>342</v>
      </c>
      <c r="AV35" s="99" t="s">
        <v>322</v>
      </c>
      <c r="AW35">
        <f>AW27+AW32</f>
        <v>314.8</v>
      </c>
      <c r="AX35">
        <f>AX27+AX32</f>
        <v>62.959999999999994</v>
      </c>
      <c r="AY35">
        <f>AY27+AY32</f>
        <v>314.8</v>
      </c>
      <c r="AZ35">
        <f>AZ27+AZ32</f>
        <v>376.63355534969531</v>
      </c>
    </row>
    <row r="36" spans="6:58" x14ac:dyDescent="0.25">
      <c r="T36" s="99" t="s">
        <v>233</v>
      </c>
      <c r="U36" s="97">
        <f>U35+U34</f>
        <v>109.80000000000001</v>
      </c>
      <c r="V36" s="97">
        <f>V35+V34</f>
        <v>109.80000000000001</v>
      </c>
      <c r="W36" s="97">
        <f>W35+W34</f>
        <v>109.80000000000001</v>
      </c>
      <c r="X36" s="97">
        <f>X35+X34</f>
        <v>45.789117761368061</v>
      </c>
      <c r="AG36" t="s">
        <v>343</v>
      </c>
      <c r="AZ36">
        <f>SUM(AW35:AZ35)</f>
        <v>1069.1935553496953</v>
      </c>
      <c r="BA36" s="59" t="s">
        <v>305</v>
      </c>
    </row>
    <row r="37" spans="6:58" x14ac:dyDescent="0.25">
      <c r="F37">
        <f>4431-776-200-52-14-3</f>
        <v>3386</v>
      </c>
      <c r="T37" s="99" t="s">
        <v>374</v>
      </c>
      <c r="U37">
        <f>U16+U17+U36</f>
        <v>424.6</v>
      </c>
      <c r="V37">
        <f>V16+V17+V36</f>
        <v>177.15227361057134</v>
      </c>
      <c r="W37">
        <f>W16+W17+W36</f>
        <v>424.6</v>
      </c>
      <c r="X37">
        <f>X16+X17+X36</f>
        <v>419.28367970140698</v>
      </c>
      <c r="AE37" s="108">
        <f>AE34/AE33</f>
        <v>0.58703950649002123</v>
      </c>
      <c r="AF37" t="s">
        <v>345</v>
      </c>
    </row>
    <row r="38" spans="6:58" x14ac:dyDescent="0.25">
      <c r="T38" s="99" t="s">
        <v>376</v>
      </c>
      <c r="U38">
        <f>U37*$A$16</f>
        <v>5146</v>
      </c>
      <c r="V38">
        <f>V37*$A$16</f>
        <v>2147.0221384832785</v>
      </c>
      <c r="W38">
        <f>W37*$A$16</f>
        <v>5146</v>
      </c>
      <c r="X38" t="s">
        <v>377</v>
      </c>
      <c r="AV38" s="111"/>
      <c r="AW38" s="111"/>
      <c r="AX38" s="111"/>
      <c r="AY38" s="111"/>
      <c r="AZ38" s="111"/>
      <c r="BA38" s="111"/>
      <c r="BB38" s="111"/>
      <c r="BC38" s="111"/>
      <c r="BD38" s="111"/>
      <c r="BE38" s="111"/>
      <c r="BF38" s="111"/>
    </row>
    <row r="39" spans="6:58" x14ac:dyDescent="0.25">
      <c r="T39" s="99" t="s">
        <v>375</v>
      </c>
      <c r="U39" s="110">
        <f>U38-U24</f>
        <v>0</v>
      </c>
      <c r="V39" s="110">
        <f>V38-V24</f>
        <v>1.0221384832784679</v>
      </c>
      <c r="W39" s="110">
        <f>W38-W24</f>
        <v>0</v>
      </c>
      <c r="X39" s="110" t="s">
        <v>377</v>
      </c>
      <c r="AE39" s="7" t="s">
        <v>337</v>
      </c>
      <c r="AV39" s="111"/>
      <c r="AW39" s="111"/>
      <c r="AX39" s="111"/>
      <c r="AY39" s="114" t="s">
        <v>311</v>
      </c>
      <c r="AZ39" s="111"/>
      <c r="BA39" s="111"/>
      <c r="BB39" s="111"/>
      <c r="BC39" s="111"/>
      <c r="BD39" s="111"/>
      <c r="BE39" s="111"/>
      <c r="BF39" s="111"/>
    </row>
    <row r="40" spans="6:58" x14ac:dyDescent="0.25">
      <c r="X40">
        <f>SUM(U18:X18)</f>
        <v>1070.4468355506103</v>
      </c>
      <c r="Y40" s="59" t="s">
        <v>276</v>
      </c>
      <c r="AE40">
        <f>AE23-AE3</f>
        <v>105.12939999999998</v>
      </c>
      <c r="AF40" t="s">
        <v>326</v>
      </c>
      <c r="AV40" s="111"/>
      <c r="AW40" s="111"/>
      <c r="AX40" s="111"/>
      <c r="AY40" s="115" t="s">
        <v>295</v>
      </c>
      <c r="AZ40" s="111">
        <f>AE3</f>
        <v>314.8</v>
      </c>
      <c r="BA40" s="111">
        <f>BA43*AE9</f>
        <v>268.03990941527525</v>
      </c>
      <c r="BB40" s="111">
        <f>AE3</f>
        <v>314.8</v>
      </c>
      <c r="BC40" s="111">
        <f>AE3</f>
        <v>314.8</v>
      </c>
      <c r="BD40" s="111"/>
      <c r="BE40" s="111"/>
      <c r="BF40" s="111"/>
    </row>
    <row r="41" spans="6:58" x14ac:dyDescent="0.25">
      <c r="X41">
        <f>X40-X14</f>
        <v>-188.75316444938971</v>
      </c>
      <c r="Y41" s="59" t="s">
        <v>339</v>
      </c>
      <c r="AE41" s="97">
        <f>AE40/A29</f>
        <v>1302.0962036591234</v>
      </c>
      <c r="AF41" s="97" t="s">
        <v>327</v>
      </c>
      <c r="AV41" s="111"/>
      <c r="AW41" s="111"/>
      <c r="AX41" s="111"/>
      <c r="AY41" s="115" t="s">
        <v>294</v>
      </c>
      <c r="AZ41" s="111">
        <v>0</v>
      </c>
      <c r="BA41" s="111">
        <f>AE46</f>
        <v>4.7859279499359335</v>
      </c>
      <c r="BB41" s="111">
        <v>0</v>
      </c>
      <c r="BC41" s="111">
        <v>0</v>
      </c>
      <c r="BD41" s="111" t="s">
        <v>312</v>
      </c>
      <c r="BE41" s="111"/>
      <c r="BF41" s="111"/>
    </row>
    <row r="42" spans="6:58" x14ac:dyDescent="0.25">
      <c r="Y42" s="59" t="s">
        <v>338</v>
      </c>
      <c r="AE42">
        <f>AE41*A28</f>
        <v>27.782775585264623</v>
      </c>
      <c r="AF42" t="s">
        <v>328</v>
      </c>
      <c r="AV42" s="111"/>
      <c r="AW42" s="111"/>
      <c r="AX42" s="111"/>
      <c r="AY42" s="115" t="s">
        <v>313</v>
      </c>
      <c r="AZ42" s="111">
        <f>AZ41*ParameterEstimation650MWPlant!$AD$14</f>
        <v>0</v>
      </c>
      <c r="BA42" s="111">
        <f>BA41*AE47*ParameterEstimation650MWPlant!$AD$14</f>
        <v>46.1551916463673</v>
      </c>
      <c r="BB42" s="111">
        <f>BB41*ParameterEstimation650MWPlant!$AD$14</f>
        <v>0</v>
      </c>
      <c r="BC42" s="111">
        <f>BC41*ParameterEstimation650MWPlant!$AD$14</f>
        <v>0</v>
      </c>
      <c r="BD42" s="111"/>
      <c r="BE42" s="111"/>
      <c r="BF42" s="111"/>
    </row>
    <row r="43" spans="6:58" x14ac:dyDescent="0.25">
      <c r="X43" s="133">
        <f>X41/X40</f>
        <v>-0.17633119009810511</v>
      </c>
      <c r="Y43" s="59" t="s">
        <v>398</v>
      </c>
      <c r="AG43" t="s">
        <v>329</v>
      </c>
      <c r="AV43" s="111"/>
      <c r="AW43" s="111"/>
      <c r="AX43" s="111"/>
      <c r="AY43" s="115" t="s">
        <v>300</v>
      </c>
      <c r="AZ43" s="111">
        <f>$AE$8-AZ41</f>
        <v>32.22</v>
      </c>
      <c r="BA43" s="111">
        <f>$AE$8-BA41</f>
        <v>27.434072050064067</v>
      </c>
      <c r="BB43" s="111">
        <f>$AE$8-BB41</f>
        <v>32.22</v>
      </c>
      <c r="BC43" s="111">
        <f>$AE$8-BC41</f>
        <v>32.22</v>
      </c>
      <c r="BD43" s="111" t="s">
        <v>312</v>
      </c>
      <c r="BE43" s="111"/>
      <c r="BF43" s="111"/>
    </row>
    <row r="44" spans="6:58" x14ac:dyDescent="0.25">
      <c r="T44" s="99" t="s">
        <v>381</v>
      </c>
      <c r="U44">
        <f>U27/U37</f>
        <v>0.25859632595383891</v>
      </c>
      <c r="V44">
        <f>V27/V37</f>
        <v>0.25847321531997342</v>
      </c>
      <c r="W44">
        <f>W27/W37</f>
        <v>0.25859632595383891</v>
      </c>
      <c r="X44" t="s">
        <v>377</v>
      </c>
      <c r="AG44" t="s">
        <v>330</v>
      </c>
      <c r="AV44" s="111"/>
      <c r="AW44" s="111"/>
      <c r="AX44" s="111"/>
      <c r="AY44" s="115" t="s">
        <v>314</v>
      </c>
      <c r="AZ44" s="111">
        <f>AZ43*ParameterEstimation650MWPlant!$AD$14</f>
        <v>77.790729253981553</v>
      </c>
      <c r="BA44" s="111">
        <f>BA43*ParameterEstimation650MWPlant!$AD$14</f>
        <v>66.235768813803745</v>
      </c>
      <c r="BB44" s="111">
        <f>BB43*ParameterEstimation650MWPlant!$AD$14</f>
        <v>77.790729253981553</v>
      </c>
      <c r="BC44" s="111">
        <f>BC43*ParameterEstimation650MWPlant!$AD$14</f>
        <v>77.790729253981553</v>
      </c>
      <c r="BD44" s="111"/>
      <c r="BE44" s="111"/>
      <c r="BF44" s="111"/>
    </row>
    <row r="45" spans="6:58" x14ac:dyDescent="0.25">
      <c r="T45" s="99" t="s">
        <v>382</v>
      </c>
      <c r="U45">
        <f>U28/U37</f>
        <v>7.5883184173339613E-2</v>
      </c>
      <c r="V45">
        <f>V28/V37</f>
        <v>7.5847058266024975E-2</v>
      </c>
      <c r="W45">
        <f>W28/W37</f>
        <v>7.5883184173339613E-2</v>
      </c>
      <c r="X45" s="110" t="s">
        <v>377</v>
      </c>
      <c r="AE45" s="97">
        <f>AE41*(A9/A8)</f>
        <v>8.1526505405940455</v>
      </c>
      <c r="AF45" t="s">
        <v>331</v>
      </c>
      <c r="AV45" s="111"/>
      <c r="AW45" s="111"/>
      <c r="AX45" s="111"/>
      <c r="AY45" s="115" t="s">
        <v>316</v>
      </c>
      <c r="AZ45" s="111">
        <f>(AZ41+AZ42)/$A$11</f>
        <v>0</v>
      </c>
      <c r="BA45" s="111">
        <f>(BA41+BA42)/$A$11</f>
        <v>2387.4590295316611</v>
      </c>
      <c r="BB45" s="111">
        <f>(BB41+BB42)/$A$11</f>
        <v>0</v>
      </c>
      <c r="BC45" s="111">
        <f>(BC41+BC42)/$A$11</f>
        <v>0</v>
      </c>
      <c r="BD45" s="111"/>
      <c r="BE45" s="111"/>
      <c r="BF45" s="111"/>
    </row>
    <row r="46" spans="6:58" x14ac:dyDescent="0.25">
      <c r="T46" s="99" t="s">
        <v>385</v>
      </c>
      <c r="U46" t="s">
        <v>377</v>
      </c>
      <c r="V46">
        <f>V30/V32</f>
        <v>0.34833333333333338</v>
      </c>
      <c r="W46" t="s">
        <v>377</v>
      </c>
      <c r="X46" t="s">
        <v>377</v>
      </c>
      <c r="AE46" s="59">
        <f>AE45*AE37</f>
        <v>4.7859279499359335</v>
      </c>
      <c r="AF46" t="s">
        <v>347</v>
      </c>
      <c r="AV46" s="111"/>
      <c r="AW46" s="111"/>
      <c r="AX46" s="111"/>
      <c r="AY46" s="115" t="s">
        <v>317</v>
      </c>
      <c r="AZ46" s="111">
        <f>(AZ44+AZ43)/$A$11</f>
        <v>5155.8762544716665</v>
      </c>
      <c r="BA46" s="111">
        <f>(BA44+BA43)/$A$11</f>
        <v>4390.0273322901985</v>
      </c>
      <c r="BB46" s="111">
        <f>(BB44+BB43)/$A$11</f>
        <v>5155.8762544716665</v>
      </c>
      <c r="BC46" s="111">
        <f>(BC44+BC43)/$A$11</f>
        <v>5155.8762544716665</v>
      </c>
      <c r="BD46" s="111"/>
      <c r="BE46" s="111"/>
      <c r="BF46" s="111"/>
    </row>
    <row r="47" spans="6:58" x14ac:dyDescent="0.25">
      <c r="AE47">
        <f>AE30/AE46</f>
        <v>3.9944049904213288</v>
      </c>
      <c r="AF47" t="s">
        <v>352</v>
      </c>
      <c r="AV47" s="111"/>
      <c r="AW47" s="111"/>
      <c r="AX47" s="111"/>
      <c r="AY47" s="115" t="s">
        <v>320</v>
      </c>
      <c r="AZ47" s="111">
        <v>0</v>
      </c>
      <c r="BA47" s="111">
        <v>0</v>
      </c>
      <c r="BB47" s="111">
        <v>0</v>
      </c>
      <c r="BC47" s="111">
        <f>BA45</f>
        <v>2387.4590295316611</v>
      </c>
      <c r="BD47" s="111"/>
      <c r="BE47" s="111"/>
      <c r="BF47" s="111"/>
    </row>
    <row r="48" spans="6:58" x14ac:dyDescent="0.25">
      <c r="AE48" s="59">
        <f>AE47*A15</f>
        <v>39.02665086854855</v>
      </c>
      <c r="AF48" t="s">
        <v>348</v>
      </c>
      <c r="AV48" s="111"/>
      <c r="AW48" s="111"/>
      <c r="AX48" s="111"/>
      <c r="AY48" s="115" t="s">
        <v>319</v>
      </c>
      <c r="AZ48" s="111">
        <f>AZ46*$A$12</f>
        <v>315.40416729647893</v>
      </c>
      <c r="BA48" s="111">
        <f>BA46*$A$12</f>
        <v>268.55433428001447</v>
      </c>
      <c r="BB48" s="111">
        <f>BB46*$A$12</f>
        <v>315.40416729647893</v>
      </c>
      <c r="BC48" s="111">
        <f>BC46*$A$12</f>
        <v>315.40416729647893</v>
      </c>
      <c r="BD48" s="111"/>
      <c r="BE48" s="111"/>
      <c r="BF48" s="111"/>
    </row>
    <row r="49" spans="20:58" x14ac:dyDescent="0.25">
      <c r="T49" s="99" t="s">
        <v>363</v>
      </c>
      <c r="U49">
        <f>U18-U9</f>
        <v>0</v>
      </c>
      <c r="V49">
        <f>V18-V9</f>
        <v>-247.44772638942868</v>
      </c>
      <c r="W49">
        <f>W18-W9</f>
        <v>0</v>
      </c>
      <c r="X49">
        <f>X18-X9</f>
        <v>58.694561940038909</v>
      </c>
      <c r="AE49">
        <f>AE3-(AE48*AE46)</f>
        <v>128.02126081582202</v>
      </c>
      <c r="AF49" t="s">
        <v>350</v>
      </c>
      <c r="AV49" s="111"/>
      <c r="AW49" s="111"/>
      <c r="AX49" s="111"/>
      <c r="AY49" s="115" t="s">
        <v>318</v>
      </c>
      <c r="AZ49" s="111">
        <f>AZ47*$A$29</f>
        <v>0</v>
      </c>
      <c r="BA49" s="111">
        <f>BA47*$A$29</f>
        <v>0</v>
      </c>
      <c r="BB49" s="111">
        <f>BB47*$A$29</f>
        <v>0</v>
      </c>
      <c r="BC49" s="116">
        <f>BC47*$A$29</f>
        <v>192.76005459036969</v>
      </c>
      <c r="BD49" s="111">
        <f>SUM(BA41:BA42)*AE19</f>
        <v>192.76005459036969</v>
      </c>
      <c r="BE49" s="111"/>
      <c r="BF49" s="111"/>
    </row>
    <row r="50" spans="20:58" x14ac:dyDescent="0.25">
      <c r="T50" s="99" t="s">
        <v>364</v>
      </c>
      <c r="U50">
        <v>0</v>
      </c>
      <c r="V50">
        <v>10</v>
      </c>
      <c r="W50">
        <v>0</v>
      </c>
      <c r="X50">
        <v>46</v>
      </c>
      <c r="AF50" t="s">
        <v>351</v>
      </c>
      <c r="AV50" s="111"/>
      <c r="AW50" s="111"/>
      <c r="AX50" s="111"/>
      <c r="AY50" s="111"/>
      <c r="AZ50" s="111">
        <f>SUM(AZ40:AZ44)</f>
        <v>424.81072925398155</v>
      </c>
      <c r="BA50" s="111">
        <f>SUM(BA40:BA44)</f>
        <v>412.65086987544629</v>
      </c>
      <c r="BB50" s="111">
        <f>SUM(BB40:BB44)</f>
        <v>424.81072925398155</v>
      </c>
      <c r="BC50" s="111">
        <f>SUM(BC40:BC44)</f>
        <v>424.81072925398155</v>
      </c>
      <c r="BD50" s="111"/>
      <c r="BE50" s="111"/>
      <c r="BF50" s="111"/>
    </row>
    <row r="51" spans="20:58" x14ac:dyDescent="0.25">
      <c r="T51" s="99" t="s">
        <v>365</v>
      </c>
      <c r="U51">
        <f>U50*U49</f>
        <v>0</v>
      </c>
      <c r="V51">
        <f>V50*V49</f>
        <v>-2474.4772638942868</v>
      </c>
      <c r="W51">
        <f>W50*W49</f>
        <v>0</v>
      </c>
      <c r="X51">
        <f>X50*X49</f>
        <v>2699.9498492417897</v>
      </c>
      <c r="AG51">
        <f>AE10*AE3</f>
        <v>62.960000000000008</v>
      </c>
      <c r="AV51" s="111"/>
      <c r="AW51" s="111"/>
      <c r="AX51" s="111"/>
      <c r="AY51" s="115" t="s">
        <v>296</v>
      </c>
      <c r="AZ51" s="111">
        <v>0</v>
      </c>
      <c r="BA51" s="111">
        <v>0</v>
      </c>
      <c r="BB51" s="111">
        <v>0</v>
      </c>
      <c r="BC51" s="111">
        <f>SUM(BA41:BA42)*AE19</f>
        <v>192.76005459036969</v>
      </c>
      <c r="BD51" s="117"/>
      <c r="BE51" s="111"/>
      <c r="BF51" s="111"/>
    </row>
    <row r="52" spans="20:58" x14ac:dyDescent="0.25">
      <c r="T52" s="99"/>
      <c r="X52" s="112">
        <f>X51+V51</f>
        <v>225.4725853475029</v>
      </c>
      <c r="Y52" t="s">
        <v>383</v>
      </c>
      <c r="AV52" s="111"/>
      <c r="AW52" s="111"/>
      <c r="AX52" s="111"/>
      <c r="AY52" s="115" t="s">
        <v>302</v>
      </c>
      <c r="AZ52" s="111">
        <v>0</v>
      </c>
      <c r="BA52" s="111">
        <v>0</v>
      </c>
      <c r="BB52" s="111">
        <v>0</v>
      </c>
      <c r="BC52" s="111">
        <f>AE30</f>
        <v>19.116934487021013</v>
      </c>
      <c r="BD52" s="111"/>
      <c r="BE52" s="111"/>
      <c r="BF52" s="111"/>
    </row>
    <row r="53" spans="20:58" x14ac:dyDescent="0.25">
      <c r="AE53" s="7" t="s">
        <v>289</v>
      </c>
      <c r="AV53" s="111"/>
      <c r="AW53" s="111"/>
      <c r="AX53" s="111"/>
      <c r="AY53" s="115" t="s">
        <v>303</v>
      </c>
      <c r="AZ53" s="111">
        <v>0</v>
      </c>
      <c r="BA53" s="111">
        <v>0</v>
      </c>
      <c r="BB53" s="111">
        <v>0</v>
      </c>
      <c r="BC53" s="111">
        <f>BC51-BC52</f>
        <v>173.64312010334868</v>
      </c>
      <c r="BD53" s="111"/>
      <c r="BE53" s="111"/>
      <c r="BF53" s="111"/>
    </row>
    <row r="54" spans="20:58" x14ac:dyDescent="0.25">
      <c r="X54" s="59" t="s">
        <v>277</v>
      </c>
      <c r="AE54" s="59">
        <f>(AE23-AE3)-AE46</f>
        <v>100.34347205006404</v>
      </c>
      <c r="AF54" t="s">
        <v>287</v>
      </c>
      <c r="AV54" s="111"/>
      <c r="AW54" s="111"/>
      <c r="AX54" s="111"/>
      <c r="AY54" s="115" t="s">
        <v>297</v>
      </c>
      <c r="AZ54" s="111">
        <f>AZ51-AZ41+AZ40</f>
        <v>314.8</v>
      </c>
      <c r="BA54" s="111">
        <f>BA51-BA41+BA40</f>
        <v>263.25398146533934</v>
      </c>
      <c r="BB54" s="111">
        <f>BB51-BB41+BB40</f>
        <v>314.8</v>
      </c>
      <c r="BC54" s="111">
        <f>BC51-BC41+BC40</f>
        <v>507.5600545903697</v>
      </c>
      <c r="BD54" s="111"/>
      <c r="BE54" s="111"/>
      <c r="BF54" s="111"/>
    </row>
    <row r="55" spans="20:58" x14ac:dyDescent="0.25">
      <c r="X55" s="99" t="s">
        <v>270</v>
      </c>
      <c r="Y55">
        <f>V31</f>
        <v>64.01088223863195</v>
      </c>
      <c r="AE55">
        <f>AE54/AE46</f>
        <v>20.966356597868817</v>
      </c>
      <c r="AF55" t="s">
        <v>353</v>
      </c>
      <c r="AV55" s="111"/>
      <c r="AW55" s="111"/>
      <c r="AX55" s="111"/>
      <c r="AY55" s="111"/>
      <c r="AZ55" s="111"/>
      <c r="BA55" s="111"/>
      <c r="BB55" s="111"/>
      <c r="BC55" s="111">
        <f>SUM(AZ54:BC54)</f>
        <v>1400.4140360557089</v>
      </c>
      <c r="BD55" s="116" t="s">
        <v>305</v>
      </c>
      <c r="BE55" s="111"/>
      <c r="BF55" s="111"/>
    </row>
    <row r="56" spans="20:58" x14ac:dyDescent="0.25">
      <c r="X56" s="99" t="s">
        <v>271</v>
      </c>
      <c r="Y56" s="97">
        <f>Y55*A30</f>
        <v>242.21574344023321</v>
      </c>
      <c r="AV56" s="111"/>
      <c r="AW56" s="111"/>
      <c r="AX56" s="111"/>
      <c r="AY56" s="111"/>
      <c r="AZ56" s="111"/>
      <c r="BA56" s="111"/>
      <c r="BB56" s="111"/>
      <c r="BC56" s="111"/>
      <c r="BD56" s="111"/>
      <c r="BE56" s="111"/>
      <c r="BF56" s="111"/>
    </row>
    <row r="57" spans="20:58" x14ac:dyDescent="0.25">
      <c r="X57" s="99" t="s">
        <v>272</v>
      </c>
      <c r="Y57">
        <f>U16-V16</f>
        <v>247.44772638942868</v>
      </c>
    </row>
    <row r="58" spans="20:58" x14ac:dyDescent="0.25">
      <c r="X58" s="99" t="s">
        <v>274</v>
      </c>
      <c r="Y58">
        <f>W16-X16</f>
        <v>183.52118150019433</v>
      </c>
    </row>
    <row r="59" spans="20:58" x14ac:dyDescent="0.25">
      <c r="X59" s="99" t="s">
        <v>273</v>
      </c>
      <c r="Y59">
        <f>Y56-Y57-Y58</f>
        <v>-188.7531644493898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9"/>
  <sheetViews>
    <sheetView workbookViewId="0">
      <selection activeCell="W45" sqref="W45"/>
    </sheetView>
  </sheetViews>
  <sheetFormatPr defaultRowHeight="15" x14ac:dyDescent="0.25"/>
  <cols>
    <col min="3" max="3" width="12" customWidth="1"/>
    <col min="25" max="25" width="10.85546875" customWidth="1"/>
    <col min="29" max="58" width="9.140625" style="10"/>
  </cols>
  <sheetData>
    <row r="1" spans="1:53" x14ac:dyDescent="0.25">
      <c r="A1" t="s">
        <v>223</v>
      </c>
      <c r="O1" t="s">
        <v>219</v>
      </c>
      <c r="AE1" s="81"/>
    </row>
    <row r="2" spans="1:53" x14ac:dyDescent="0.25">
      <c r="P2" t="s">
        <v>220</v>
      </c>
      <c r="AE2" s="81"/>
    </row>
    <row r="3" spans="1:53" x14ac:dyDescent="0.25">
      <c r="A3" t="s">
        <v>228</v>
      </c>
      <c r="P3" t="s">
        <v>257</v>
      </c>
      <c r="AE3" s="109"/>
      <c r="AF3" s="109"/>
    </row>
    <row r="4" spans="1:53" x14ac:dyDescent="0.25">
      <c r="A4" s="59" t="s">
        <v>225</v>
      </c>
      <c r="P4" t="s">
        <v>221</v>
      </c>
    </row>
    <row r="5" spans="1:53" x14ac:dyDescent="0.25">
      <c r="A5" t="s">
        <v>183</v>
      </c>
      <c r="B5" t="s">
        <v>237</v>
      </c>
      <c r="P5" t="s">
        <v>222</v>
      </c>
      <c r="V5" s="7"/>
      <c r="AE5" s="118"/>
    </row>
    <row r="6" spans="1:53" x14ac:dyDescent="0.25">
      <c r="A6">
        <f>B6</f>
        <v>314.8</v>
      </c>
      <c r="B6">
        <f>ParameterEstimation450MWPlant!D21</f>
        <v>314.8</v>
      </c>
      <c r="C6" t="s">
        <v>41</v>
      </c>
      <c r="D6" t="s">
        <v>224</v>
      </c>
      <c r="AE6" s="118"/>
      <c r="AV6" s="119"/>
    </row>
    <row r="7" spans="1:53" x14ac:dyDescent="0.25">
      <c r="A7">
        <f>B7</f>
        <v>109.80000000000001</v>
      </c>
      <c r="B7">
        <f>ParameterEstimation450MWPlant!D20-ParameterEstimation450MWPlant!D21</f>
        <v>109.80000000000001</v>
      </c>
      <c r="C7" t="s">
        <v>41</v>
      </c>
      <c r="D7" t="s">
        <v>236</v>
      </c>
      <c r="T7" t="s">
        <v>229</v>
      </c>
      <c r="U7">
        <v>0</v>
      </c>
      <c r="V7">
        <v>1</v>
      </c>
      <c r="W7">
        <v>2</v>
      </c>
      <c r="X7">
        <v>3</v>
      </c>
      <c r="AE7" s="118"/>
      <c r="AV7" s="120"/>
    </row>
    <row r="8" spans="1:53" x14ac:dyDescent="0.25">
      <c r="A8">
        <f>B8</f>
        <v>5146</v>
      </c>
      <c r="B8">
        <f>ParameterEstimation450MWPlant!F21</f>
        <v>5146</v>
      </c>
      <c r="C8" t="s">
        <v>42</v>
      </c>
      <c r="D8" t="s">
        <v>227</v>
      </c>
      <c r="T8" s="105" t="s">
        <v>230</v>
      </c>
      <c r="AV8" s="120"/>
      <c r="BA8" s="81"/>
    </row>
    <row r="9" spans="1:53" x14ac:dyDescent="0.25">
      <c r="A9">
        <f>B9</f>
        <v>32.22</v>
      </c>
      <c r="B9">
        <f>ParameterEstimation450MWPlant!E21</f>
        <v>32.22</v>
      </c>
      <c r="C9" t="s">
        <v>41</v>
      </c>
      <c r="D9" t="s">
        <v>166</v>
      </c>
      <c r="P9" s="59"/>
      <c r="T9" s="99" t="s">
        <v>238</v>
      </c>
      <c r="U9" s="97">
        <f>A6</f>
        <v>314.8</v>
      </c>
      <c r="V9" s="97">
        <f>A6</f>
        <v>314.8</v>
      </c>
      <c r="W9" s="97">
        <f>A6</f>
        <v>314.8</v>
      </c>
      <c r="X9" s="97">
        <f>A6</f>
        <v>314.8</v>
      </c>
      <c r="AV9" s="119"/>
    </row>
    <row r="10" spans="1:53" x14ac:dyDescent="0.25">
      <c r="A10">
        <f>A7-A9</f>
        <v>77.580000000000013</v>
      </c>
      <c r="B10" t="s">
        <v>45</v>
      </c>
      <c r="C10" t="s">
        <v>41</v>
      </c>
      <c r="D10" t="s">
        <v>231</v>
      </c>
      <c r="T10" s="99" t="s">
        <v>239</v>
      </c>
      <c r="U10" s="97">
        <f>A8</f>
        <v>5146</v>
      </c>
      <c r="V10" s="97">
        <f>A8</f>
        <v>5146</v>
      </c>
      <c r="W10" s="97">
        <f>A8</f>
        <v>5146</v>
      </c>
      <c r="X10" s="97">
        <f>A8</f>
        <v>5146</v>
      </c>
      <c r="AE10" s="118"/>
      <c r="AV10" s="120"/>
    </row>
    <row r="11" spans="1:53" x14ac:dyDescent="0.25">
      <c r="A11">
        <f>B11</f>
        <v>2.1336960746210651E-2</v>
      </c>
      <c r="B11">
        <f>1/ParameterEstimation450MWPlant!A49</f>
        <v>2.1336960746210651E-2</v>
      </c>
      <c r="C11" t="s">
        <v>249</v>
      </c>
      <c r="D11" t="s">
        <v>248</v>
      </c>
      <c r="T11" s="99" t="s">
        <v>235</v>
      </c>
      <c r="U11" s="97">
        <f>A9</f>
        <v>32.22</v>
      </c>
      <c r="V11" s="97">
        <f>A9</f>
        <v>32.22</v>
      </c>
      <c r="W11" s="97">
        <f>A9</f>
        <v>32.22</v>
      </c>
      <c r="X11" s="97">
        <f>A9</f>
        <v>32.22</v>
      </c>
      <c r="AV11" s="120"/>
    </row>
    <row r="12" spans="1:53" x14ac:dyDescent="0.25">
      <c r="A12">
        <f>B12</f>
        <v>6.1173727166731445E-2</v>
      </c>
      <c r="B12">
        <f>ParameterEstimation450MWPlant!A51</f>
        <v>6.1173727166731445E-2</v>
      </c>
      <c r="C12" t="s">
        <v>249</v>
      </c>
      <c r="D12" t="s">
        <v>253</v>
      </c>
      <c r="T12" s="99" t="s">
        <v>234</v>
      </c>
      <c r="U12" s="97">
        <f>A10</f>
        <v>77.580000000000013</v>
      </c>
      <c r="V12" s="97">
        <f>A10</f>
        <v>77.580000000000013</v>
      </c>
      <c r="W12" s="97">
        <f>A10</f>
        <v>77.580000000000013</v>
      </c>
      <c r="X12" s="97">
        <f>A10</f>
        <v>77.580000000000013</v>
      </c>
      <c r="AV12" s="120"/>
    </row>
    <row r="13" spans="1:53" x14ac:dyDescent="0.25">
      <c r="A13">
        <f>A10/(A9+A10)</f>
        <v>0.70655737704918042</v>
      </c>
      <c r="B13" t="s">
        <v>45</v>
      </c>
      <c r="C13" t="s">
        <v>139</v>
      </c>
      <c r="D13" t="s">
        <v>259</v>
      </c>
      <c r="T13" s="99" t="s">
        <v>233</v>
      </c>
      <c r="U13" s="97">
        <f>U12+U11</f>
        <v>109.80000000000001</v>
      </c>
      <c r="V13" s="97">
        <f>V12+V11</f>
        <v>109.80000000000001</v>
      </c>
      <c r="W13" s="97">
        <f>W12+W11</f>
        <v>109.80000000000001</v>
      </c>
      <c r="X13" s="97">
        <f>X12+X11</f>
        <v>109.80000000000001</v>
      </c>
      <c r="AF13" s="124"/>
      <c r="AV13" s="120"/>
    </row>
    <row r="14" spans="1:53" x14ac:dyDescent="0.25">
      <c r="A14">
        <f>A9/(A10+A9)</f>
        <v>0.29344262295081963</v>
      </c>
      <c r="B14" t="s">
        <v>45</v>
      </c>
      <c r="C14" t="s">
        <v>139</v>
      </c>
      <c r="D14" t="s">
        <v>260</v>
      </c>
      <c r="T14" s="99"/>
      <c r="U14" s="97"/>
      <c r="W14" s="97"/>
      <c r="X14">
        <f>SUM(U9:X9)</f>
        <v>1259.2</v>
      </c>
      <c r="Y14" s="59" t="s">
        <v>267</v>
      </c>
      <c r="AV14" s="120"/>
    </row>
    <row r="15" spans="1:53" x14ac:dyDescent="0.25">
      <c r="A15">
        <f>B15</f>
        <v>9.7703289882060833</v>
      </c>
      <c r="B15">
        <f>ParameterEstimation450MWPlant!D21/ParameterEstimation450MWPlant!E21</f>
        <v>9.7703289882060833</v>
      </c>
      <c r="C15" t="s">
        <v>139</v>
      </c>
      <c r="D15" t="s">
        <v>349</v>
      </c>
      <c r="T15" s="105" t="s">
        <v>232</v>
      </c>
      <c r="U15" s="97"/>
      <c r="V15" s="97"/>
      <c r="W15" s="97"/>
      <c r="X15" s="97"/>
      <c r="Z15" s="7" t="s">
        <v>279</v>
      </c>
      <c r="AE15" s="81"/>
      <c r="AK15" s="120"/>
      <c r="AV15" s="120"/>
    </row>
    <row r="16" spans="1:53" x14ac:dyDescent="0.25">
      <c r="A16">
        <f>B16</f>
        <v>12.119642016015073</v>
      </c>
      <c r="B16">
        <f>ParameterEstimation450MWPlant!F21/(ParameterEstimation450MWPlant!D21+ParameterEstimation450MWPlant!A48)</f>
        <v>12.119642016015073</v>
      </c>
      <c r="C16" t="s">
        <v>372</v>
      </c>
      <c r="D16" t="s">
        <v>373</v>
      </c>
      <c r="T16" s="99" t="s">
        <v>264</v>
      </c>
      <c r="U16" s="97">
        <f>A6</f>
        <v>314.8</v>
      </c>
      <c r="V16" s="97">
        <f>V20*A12</f>
        <v>191.04554994170229</v>
      </c>
      <c r="W16" s="97">
        <f>A6</f>
        <v>314.8</v>
      </c>
      <c r="X16" s="97">
        <f>X20*A12</f>
        <v>223.03940924990286</v>
      </c>
      <c r="Y16" t="s">
        <v>281</v>
      </c>
      <c r="Z16">
        <f>Z19*A12</f>
        <v>0</v>
      </c>
      <c r="AE16" s="122"/>
      <c r="AK16" s="120"/>
      <c r="AV16" s="120"/>
      <c r="BA16" s="121"/>
    </row>
    <row r="17" spans="1:53" x14ac:dyDescent="0.25">
      <c r="T17" s="99" t="s">
        <v>265</v>
      </c>
      <c r="U17">
        <v>0</v>
      </c>
      <c r="V17">
        <v>0</v>
      </c>
      <c r="W17">
        <v>0</v>
      </c>
      <c r="X17">
        <f>$A$29*X23</f>
        <v>121.10787172011662</v>
      </c>
      <c r="Y17" t="s">
        <v>282</v>
      </c>
      <c r="Z17">
        <f>$A$29*Z21</f>
        <v>415.48073858114674</v>
      </c>
      <c r="AE17" s="118"/>
      <c r="AK17" s="120"/>
      <c r="AV17" s="120"/>
    </row>
    <row r="18" spans="1:53" x14ac:dyDescent="0.25">
      <c r="T18" s="99" t="s">
        <v>266</v>
      </c>
      <c r="U18">
        <f>U17+U16</f>
        <v>314.8</v>
      </c>
      <c r="V18">
        <f>V17+V16</f>
        <v>191.04554994170229</v>
      </c>
      <c r="W18">
        <f>W17+W16</f>
        <v>314.8</v>
      </c>
      <c r="X18">
        <f>X17+X16</f>
        <v>344.14728097001949</v>
      </c>
      <c r="Y18" s="97" t="s">
        <v>278</v>
      </c>
      <c r="Z18">
        <f>Z17+Z16</f>
        <v>415.48073858114674</v>
      </c>
      <c r="AE18" s="123"/>
      <c r="AK18" s="120"/>
      <c r="AV18" s="120"/>
      <c r="AZ18" s="121"/>
    </row>
    <row r="19" spans="1:53" x14ac:dyDescent="0.25">
      <c r="A19" s="59" t="s">
        <v>226</v>
      </c>
      <c r="T19" s="99" t="s">
        <v>378</v>
      </c>
      <c r="U19" s="97">
        <f>A8</f>
        <v>5146</v>
      </c>
      <c r="V19" s="97">
        <f>U19-V22</f>
        <v>3646</v>
      </c>
      <c r="W19" s="97">
        <f>W10</f>
        <v>5146</v>
      </c>
      <c r="X19" s="97">
        <f>W24-X23</f>
        <v>3646</v>
      </c>
      <c r="Y19" s="97" t="s">
        <v>284</v>
      </c>
      <c r="Z19">
        <f>W24-Z21</f>
        <v>0</v>
      </c>
      <c r="AK19" s="120"/>
      <c r="AV19" s="120"/>
    </row>
    <row r="20" spans="1:53" x14ac:dyDescent="0.25">
      <c r="A20" t="s">
        <v>183</v>
      </c>
      <c r="B20" t="s">
        <v>237</v>
      </c>
      <c r="T20" s="99" t="s">
        <v>379</v>
      </c>
      <c r="U20">
        <f>U19</f>
        <v>5146</v>
      </c>
      <c r="V20">
        <f>3646-388-100-26-7-2</f>
        <v>3123</v>
      </c>
      <c r="W20">
        <f>W19</f>
        <v>5146</v>
      </c>
      <c r="X20">
        <f>X19</f>
        <v>3646</v>
      </c>
      <c r="Z20">
        <v>0</v>
      </c>
      <c r="AK20" s="120"/>
      <c r="AV20" s="120"/>
    </row>
    <row r="21" spans="1:53" x14ac:dyDescent="0.25">
      <c r="A21">
        <f>B21</f>
        <v>415.4</v>
      </c>
      <c r="B21">
        <f>ParameterEstimation450MWPlant!D22</f>
        <v>415.4</v>
      </c>
      <c r="C21" t="s">
        <v>41</v>
      </c>
      <c r="D21" t="s">
        <v>224</v>
      </c>
      <c r="T21" s="99" t="s">
        <v>380</v>
      </c>
      <c r="U21">
        <f>U19-U20</f>
        <v>0</v>
      </c>
      <c r="V21" s="110">
        <f>V19-V20</f>
        <v>523</v>
      </c>
      <c r="W21">
        <f>W19-W20</f>
        <v>0</v>
      </c>
      <c r="X21">
        <f>X19-X20</f>
        <v>0</v>
      </c>
      <c r="Y21" t="s">
        <v>283</v>
      </c>
      <c r="Z21">
        <v>5146</v>
      </c>
      <c r="AE21" s="109"/>
      <c r="AF21" s="109"/>
      <c r="AK21" s="120"/>
      <c r="AV21" s="120"/>
    </row>
    <row r="22" spans="1:53" x14ac:dyDescent="0.25">
      <c r="A22">
        <f>B22</f>
        <v>5145</v>
      </c>
      <c r="B22">
        <f>ParameterEstimation450MWPlant!F22</f>
        <v>5145</v>
      </c>
      <c r="C22" t="s">
        <v>42</v>
      </c>
      <c r="D22" t="s">
        <v>227</v>
      </c>
      <c r="T22" s="99" t="s">
        <v>262</v>
      </c>
      <c r="U22" s="97">
        <v>0</v>
      </c>
      <c r="V22" s="97">
        <f>A25</f>
        <v>1500</v>
      </c>
      <c r="W22" s="97">
        <v>0</v>
      </c>
      <c r="X22" s="97">
        <v>0</v>
      </c>
      <c r="Y22" t="s">
        <v>280</v>
      </c>
      <c r="Z22">
        <f>Z19+Z21</f>
        <v>5146</v>
      </c>
      <c r="AF22" s="109"/>
      <c r="AK22" s="120"/>
      <c r="AV22" s="120"/>
    </row>
    <row r="23" spans="1:53" x14ac:dyDescent="0.25">
      <c r="A23">
        <f>B23</f>
        <v>3.8250000000000002</v>
      </c>
      <c r="B23">
        <f>ParameterEstimation450MWPlant!E22</f>
        <v>3.8250000000000002</v>
      </c>
      <c r="C23" t="s">
        <v>41</v>
      </c>
      <c r="D23" t="s">
        <v>166</v>
      </c>
      <c r="T23" s="99" t="s">
        <v>263</v>
      </c>
      <c r="U23" s="97">
        <v>0</v>
      </c>
      <c r="V23" s="97">
        <v>0</v>
      </c>
      <c r="W23" s="97">
        <v>0</v>
      </c>
      <c r="X23" s="97">
        <f>W26</f>
        <v>1500</v>
      </c>
      <c r="Z23">
        <f>Z21</f>
        <v>5146</v>
      </c>
      <c r="AV23" s="120"/>
    </row>
    <row r="24" spans="1:53" x14ac:dyDescent="0.25">
      <c r="A24">
        <v>0</v>
      </c>
      <c r="B24" t="s">
        <v>45</v>
      </c>
      <c r="C24" t="s">
        <v>41</v>
      </c>
      <c r="D24" t="s">
        <v>231</v>
      </c>
      <c r="T24" s="99" t="s">
        <v>275</v>
      </c>
      <c r="U24">
        <f>U19+U23</f>
        <v>5146</v>
      </c>
      <c r="V24">
        <f>V19+V23</f>
        <v>3646</v>
      </c>
      <c r="W24">
        <f>W19+W23</f>
        <v>5146</v>
      </c>
      <c r="X24">
        <f>X19+X23</f>
        <v>5146</v>
      </c>
      <c r="Z24">
        <v>0</v>
      </c>
      <c r="BA24" s="81"/>
    </row>
    <row r="25" spans="1:53" x14ac:dyDescent="0.25">
      <c r="A25">
        <v>1500</v>
      </c>
      <c r="B25" t="s">
        <v>45</v>
      </c>
      <c r="C25" t="s">
        <v>42</v>
      </c>
      <c r="D25" t="s">
        <v>252</v>
      </c>
      <c r="T25" s="99" t="s">
        <v>240</v>
      </c>
      <c r="U25" s="97">
        <f>A26</f>
        <v>1500</v>
      </c>
      <c r="V25" s="97">
        <f>U25-V22</f>
        <v>0</v>
      </c>
      <c r="W25" s="97">
        <f>V25</f>
        <v>0</v>
      </c>
      <c r="X25" s="97">
        <f>X23</f>
        <v>1500</v>
      </c>
      <c r="Z25" s="97">
        <f>Z19*$A$28</f>
        <v>0</v>
      </c>
      <c r="AE25" s="109"/>
      <c r="BA25" s="81"/>
    </row>
    <row r="26" spans="1:53" x14ac:dyDescent="0.25">
      <c r="A26">
        <v>1500</v>
      </c>
      <c r="B26" t="s">
        <v>45</v>
      </c>
      <c r="C26" t="s">
        <v>42</v>
      </c>
      <c r="D26" t="s">
        <v>251</v>
      </c>
      <c r="T26" s="99" t="s">
        <v>241</v>
      </c>
      <c r="U26" s="97">
        <f>A27</f>
        <v>0</v>
      </c>
      <c r="V26" s="97">
        <f>U26+V22</f>
        <v>1500</v>
      </c>
      <c r="W26" s="97">
        <f>V26</f>
        <v>1500</v>
      </c>
      <c r="X26" s="97">
        <v>0</v>
      </c>
      <c r="Z26" s="97">
        <f>Z25*$A$14</f>
        <v>0</v>
      </c>
      <c r="AV26" s="119"/>
    </row>
    <row r="27" spans="1:53" x14ac:dyDescent="0.25">
      <c r="A27">
        <v>0</v>
      </c>
      <c r="B27" t="s">
        <v>45</v>
      </c>
      <c r="C27" t="s">
        <v>42</v>
      </c>
      <c r="D27" t="s">
        <v>250</v>
      </c>
      <c r="T27" s="99" t="s">
        <v>261</v>
      </c>
      <c r="U27" s="97">
        <f>U19*$A$28</f>
        <v>109.80000000000001</v>
      </c>
      <c r="V27" s="97">
        <f>V19*$A$28</f>
        <v>77.794558880684036</v>
      </c>
      <c r="W27" s="97">
        <f>W19*$A$28</f>
        <v>109.80000000000001</v>
      </c>
      <c r="X27" s="97">
        <f>X19*$A$28</f>
        <v>77.794558880684036</v>
      </c>
      <c r="Z27" s="97">
        <f>Z25*$A$13</f>
        <v>0</v>
      </c>
      <c r="AV27" s="120"/>
    </row>
    <row r="28" spans="1:53" x14ac:dyDescent="0.25">
      <c r="A28">
        <f>A11</f>
        <v>2.1336960746210651E-2</v>
      </c>
      <c r="B28" t="s">
        <v>45</v>
      </c>
      <c r="C28" t="s">
        <v>249</v>
      </c>
      <c r="D28" t="s">
        <v>254</v>
      </c>
      <c r="T28" s="99" t="s">
        <v>244</v>
      </c>
      <c r="U28" s="97">
        <f>U27*$A$14</f>
        <v>32.22</v>
      </c>
      <c r="V28" s="97">
        <f>V27*$A$14</f>
        <v>22.828239409249903</v>
      </c>
      <c r="W28" s="97">
        <f>W27*$A$14</f>
        <v>32.22</v>
      </c>
      <c r="X28" s="97">
        <f>X27*$A$14</f>
        <v>22.828239409249903</v>
      </c>
      <c r="Z28" s="97">
        <f>Z20*$A$28</f>
        <v>0</v>
      </c>
      <c r="AV28" s="120"/>
    </row>
    <row r="29" spans="1:53" x14ac:dyDescent="0.25">
      <c r="A29">
        <f>B29</f>
        <v>8.0738581146744412E-2</v>
      </c>
      <c r="B29">
        <f>ParameterEstimation450MWPlant!A59</f>
        <v>8.0738581146744412E-2</v>
      </c>
      <c r="C29" t="s">
        <v>249</v>
      </c>
      <c r="D29" t="s">
        <v>269</v>
      </c>
      <c r="T29" s="99" t="s">
        <v>247</v>
      </c>
      <c r="U29" s="97">
        <f>U27*$A$13</f>
        <v>77.580000000000013</v>
      </c>
      <c r="V29" s="97">
        <f>V27*$A$13</f>
        <v>54.96631947143414</v>
      </c>
      <c r="W29" s="97">
        <f>W27*$A$13</f>
        <v>77.580000000000013</v>
      </c>
      <c r="X29" s="97">
        <f>X27*$A$13</f>
        <v>54.96631947143414</v>
      </c>
      <c r="Z29" s="97">
        <f>Z28*$A$14</f>
        <v>0</v>
      </c>
      <c r="AE29" s="122"/>
      <c r="AV29" s="120"/>
    </row>
    <row r="30" spans="1:53" x14ac:dyDescent="0.25">
      <c r="A30">
        <f>B30</f>
        <v>3.7839775827062541</v>
      </c>
      <c r="B30">
        <f>ParameterEstimation450MWPlant!A61</f>
        <v>3.7839775827062541</v>
      </c>
      <c r="C30" t="s">
        <v>139</v>
      </c>
      <c r="D30" t="s">
        <v>255</v>
      </c>
      <c r="T30" s="99" t="s">
        <v>384</v>
      </c>
      <c r="U30">
        <f>U21*$A$28*$A$14</f>
        <v>0</v>
      </c>
      <c r="V30">
        <f>V21*$A$28*$A$14</f>
        <v>3.2745938593082005</v>
      </c>
      <c r="W30">
        <f>W21*$A$28*$A$14</f>
        <v>0</v>
      </c>
      <c r="X30">
        <f>X21*$A$28*$A$14</f>
        <v>0</v>
      </c>
      <c r="AE30" s="81"/>
      <c r="AV30" s="120"/>
    </row>
    <row r="31" spans="1:53" x14ac:dyDescent="0.25">
      <c r="A31">
        <f>A26*A28</f>
        <v>32.005441119315975</v>
      </c>
      <c r="B31" t="s">
        <v>45</v>
      </c>
      <c r="C31" t="s">
        <v>199</v>
      </c>
      <c r="D31" t="s">
        <v>256</v>
      </c>
      <c r="T31" s="99" t="s">
        <v>258</v>
      </c>
      <c r="U31" s="97">
        <f>U22*$A$28</f>
        <v>0</v>
      </c>
      <c r="V31" s="97">
        <f>V22*$A$28</f>
        <v>32.005441119315975</v>
      </c>
      <c r="W31" s="97">
        <f>W22*$A$28</f>
        <v>0</v>
      </c>
      <c r="X31" s="97">
        <f>X22*$A$28</f>
        <v>0</v>
      </c>
      <c r="Z31" s="97">
        <f>Z28*$A$13</f>
        <v>0</v>
      </c>
      <c r="AV31" s="120"/>
    </row>
    <row r="32" spans="1:53" x14ac:dyDescent="0.25">
      <c r="T32" s="99" t="s">
        <v>245</v>
      </c>
      <c r="U32" s="97">
        <f>U31*$A$14</f>
        <v>0</v>
      </c>
      <c r="V32" s="97">
        <f>V31*$A$14</f>
        <v>9.3917605907500956</v>
      </c>
      <c r="W32" s="97">
        <f>W31*$A$14</f>
        <v>0</v>
      </c>
      <c r="X32" s="97">
        <f>X31*$A$14</f>
        <v>0</v>
      </c>
      <c r="Z32" s="97">
        <f>Z29+Z26</f>
        <v>0</v>
      </c>
      <c r="AV32" s="120"/>
    </row>
    <row r="33" spans="6:53" x14ac:dyDescent="0.25">
      <c r="T33" s="99" t="s">
        <v>246</v>
      </c>
      <c r="U33" s="97">
        <f>U31*$A$13</f>
        <v>0</v>
      </c>
      <c r="V33" s="97">
        <f>V31*$A$13</f>
        <v>22.61368052856588</v>
      </c>
      <c r="W33" s="97">
        <f>W31*$A$13</f>
        <v>0</v>
      </c>
      <c r="X33" s="97">
        <f>X31*$A$13</f>
        <v>0</v>
      </c>
      <c r="Z33" s="97">
        <f>Z31+Z27</f>
        <v>0</v>
      </c>
      <c r="AV33" s="120"/>
    </row>
    <row r="34" spans="6:53" x14ac:dyDescent="0.25">
      <c r="T34" s="99" t="s">
        <v>242</v>
      </c>
      <c r="U34" s="97">
        <f t="shared" ref="U34:X35" si="0">U32+U28</f>
        <v>32.22</v>
      </c>
      <c r="V34" s="97">
        <f t="shared" si="0"/>
        <v>32.22</v>
      </c>
      <c r="W34" s="97">
        <f t="shared" si="0"/>
        <v>32.22</v>
      </c>
      <c r="X34" s="97">
        <f t="shared" si="0"/>
        <v>22.828239409249903</v>
      </c>
      <c r="Z34" s="97">
        <f>Z33+Z32</f>
        <v>0</v>
      </c>
      <c r="AV34" s="120"/>
    </row>
    <row r="35" spans="6:53" x14ac:dyDescent="0.25">
      <c r="T35" s="99" t="s">
        <v>243</v>
      </c>
      <c r="U35" s="97">
        <f t="shared" si="0"/>
        <v>77.580000000000013</v>
      </c>
      <c r="V35" s="97">
        <f t="shared" si="0"/>
        <v>77.580000000000013</v>
      </c>
      <c r="W35" s="97">
        <f t="shared" si="0"/>
        <v>77.580000000000013</v>
      </c>
      <c r="X35" s="97">
        <f t="shared" si="0"/>
        <v>54.96631947143414</v>
      </c>
      <c r="AV35" s="120"/>
    </row>
    <row r="36" spans="6:53" x14ac:dyDescent="0.25">
      <c r="T36" s="99" t="s">
        <v>233</v>
      </c>
      <c r="U36" s="97">
        <f>U35+U34</f>
        <v>109.80000000000001</v>
      </c>
      <c r="V36" s="97">
        <f>V35+V34</f>
        <v>109.80000000000001</v>
      </c>
      <c r="W36" s="97">
        <f>W35+W34</f>
        <v>109.80000000000001</v>
      </c>
      <c r="X36" s="97">
        <f>X35+X34</f>
        <v>77.794558880684036</v>
      </c>
      <c r="BA36" s="81"/>
    </row>
    <row r="37" spans="6:53" x14ac:dyDescent="0.25">
      <c r="F37">
        <f>4431-776-200-52-14-3</f>
        <v>3386</v>
      </c>
      <c r="T37" s="99" t="s">
        <v>374</v>
      </c>
      <c r="U37">
        <f>U16+U17+U36</f>
        <v>424.6</v>
      </c>
      <c r="V37">
        <f>V16+V17+V36</f>
        <v>300.8455499417023</v>
      </c>
      <c r="W37">
        <f>W16+W17+W36</f>
        <v>424.6</v>
      </c>
      <c r="X37">
        <f>X16+X17+X36</f>
        <v>421.94183985070356</v>
      </c>
      <c r="AE37" s="121"/>
    </row>
    <row r="38" spans="6:53" x14ac:dyDescent="0.25">
      <c r="T38" s="99" t="s">
        <v>376</v>
      </c>
      <c r="U38">
        <f>U37*$A$16</f>
        <v>5146</v>
      </c>
      <c r="V38">
        <f>V37*$A$16</f>
        <v>3646.140367404616</v>
      </c>
      <c r="W38">
        <f>W37*$A$16</f>
        <v>5146</v>
      </c>
      <c r="X38" t="s">
        <v>377</v>
      </c>
    </row>
    <row r="39" spans="6:53" x14ac:dyDescent="0.25">
      <c r="T39" s="99" t="s">
        <v>375</v>
      </c>
      <c r="U39" s="110">
        <f>U38-U24</f>
        <v>0</v>
      </c>
      <c r="V39" s="110">
        <f>V38-V24</f>
        <v>0.14036740461597219</v>
      </c>
      <c r="W39" s="110">
        <f>W38-W24</f>
        <v>0</v>
      </c>
      <c r="X39" s="110" t="s">
        <v>377</v>
      </c>
      <c r="AE39" s="122"/>
      <c r="AY39" s="119"/>
    </row>
    <row r="40" spans="6:53" x14ac:dyDescent="0.25">
      <c r="X40">
        <f>SUM(U18:X18)</f>
        <v>1164.7928309117217</v>
      </c>
      <c r="Y40" s="59" t="s">
        <v>276</v>
      </c>
      <c r="AY40" s="120"/>
    </row>
    <row r="41" spans="6:53" x14ac:dyDescent="0.25">
      <c r="X41">
        <f>X40-X14</f>
        <v>-94.407169088278351</v>
      </c>
      <c r="Y41" s="59" t="s">
        <v>339</v>
      </c>
      <c r="AE41" s="109"/>
      <c r="AF41" s="109"/>
      <c r="AY41" s="120"/>
    </row>
    <row r="42" spans="6:53" x14ac:dyDescent="0.25">
      <c r="Y42" s="59" t="s">
        <v>338</v>
      </c>
      <c r="AY42" s="120"/>
    </row>
    <row r="43" spans="6:53" x14ac:dyDescent="0.25">
      <c r="X43" s="108">
        <f>X41/X40</f>
        <v>-8.1050609673123372E-2</v>
      </c>
      <c r="Y43" s="59" t="s">
        <v>398</v>
      </c>
      <c r="AY43" s="120"/>
    </row>
    <row r="44" spans="6:53" x14ac:dyDescent="0.25">
      <c r="T44" s="99" t="s">
        <v>381</v>
      </c>
      <c r="U44">
        <f>U27/U37</f>
        <v>0.25859632595383891</v>
      </c>
      <c r="V44">
        <f>V27/V37</f>
        <v>0.25858637063356604</v>
      </c>
      <c r="W44">
        <f>W27/W37</f>
        <v>0.25859632595383891</v>
      </c>
      <c r="X44" t="s">
        <v>377</v>
      </c>
      <c r="AY44" s="120"/>
    </row>
    <row r="45" spans="6:53" x14ac:dyDescent="0.25">
      <c r="T45" s="99" t="s">
        <v>382</v>
      </c>
      <c r="U45">
        <f>U28/U37</f>
        <v>7.5883184173339613E-2</v>
      </c>
      <c r="V45">
        <f>V28/V37</f>
        <v>7.5880262858046416E-2</v>
      </c>
      <c r="W45">
        <f>W28/W37</f>
        <v>7.5883184173339613E-2</v>
      </c>
      <c r="X45" s="110" t="s">
        <v>377</v>
      </c>
      <c r="AE45" s="109"/>
      <c r="AY45" s="120"/>
    </row>
    <row r="46" spans="6:53" x14ac:dyDescent="0.25">
      <c r="T46" s="99" t="s">
        <v>385</v>
      </c>
      <c r="U46" t="s">
        <v>377</v>
      </c>
      <c r="V46">
        <f>V30/V32</f>
        <v>0.34866666666666674</v>
      </c>
      <c r="W46" t="s">
        <v>377</v>
      </c>
      <c r="X46" t="s">
        <v>377</v>
      </c>
      <c r="AE46" s="81"/>
      <c r="AY46" s="120"/>
    </row>
    <row r="47" spans="6:53" x14ac:dyDescent="0.25">
      <c r="AY47" s="120"/>
    </row>
    <row r="48" spans="6:53" x14ac:dyDescent="0.25">
      <c r="AE48" s="81"/>
      <c r="AY48" s="120"/>
    </row>
    <row r="49" spans="20:56" x14ac:dyDescent="0.25">
      <c r="T49" s="99" t="s">
        <v>363</v>
      </c>
      <c r="U49">
        <f>U18-U9</f>
        <v>0</v>
      </c>
      <c r="V49">
        <f>V18-V9</f>
        <v>-123.75445005829772</v>
      </c>
      <c r="W49">
        <f>W18-W9</f>
        <v>0</v>
      </c>
      <c r="X49">
        <f>X18-X9</f>
        <v>29.347280970019483</v>
      </c>
      <c r="AY49" s="120"/>
      <c r="BC49" s="81"/>
    </row>
    <row r="50" spans="20:56" x14ac:dyDescent="0.25">
      <c r="T50" s="99" t="s">
        <v>364</v>
      </c>
      <c r="U50">
        <v>0</v>
      </c>
      <c r="V50">
        <v>10</v>
      </c>
      <c r="W50">
        <v>0</v>
      </c>
      <c r="X50">
        <v>42</v>
      </c>
    </row>
    <row r="51" spans="20:56" x14ac:dyDescent="0.25">
      <c r="T51" s="99" t="s">
        <v>365</v>
      </c>
      <c r="U51">
        <f>U50*U49</f>
        <v>0</v>
      </c>
      <c r="V51">
        <f>V50*V49</f>
        <v>-1237.5445005829772</v>
      </c>
      <c r="W51">
        <f>W50*W49</f>
        <v>0</v>
      </c>
      <c r="X51">
        <f>X50*X49</f>
        <v>1232.5858007408183</v>
      </c>
      <c r="AY51" s="120"/>
      <c r="BD51" s="121"/>
    </row>
    <row r="52" spans="20:56" x14ac:dyDescent="0.25">
      <c r="T52" s="99"/>
      <c r="X52" s="112">
        <f>X51+V51</f>
        <v>-4.9586998421589215</v>
      </c>
      <c r="Y52" t="s">
        <v>383</v>
      </c>
      <c r="AY52" s="120"/>
    </row>
    <row r="53" spans="20:56" x14ac:dyDescent="0.25">
      <c r="AE53" s="122"/>
      <c r="AY53" s="120"/>
    </row>
    <row r="54" spans="20:56" x14ac:dyDescent="0.25">
      <c r="X54" s="59" t="s">
        <v>277</v>
      </c>
      <c r="AE54" s="81"/>
      <c r="AY54" s="120"/>
    </row>
    <row r="55" spans="20:56" x14ac:dyDescent="0.25">
      <c r="X55" s="99" t="s">
        <v>270</v>
      </c>
      <c r="Y55">
        <f>V31</f>
        <v>32.005441119315975</v>
      </c>
      <c r="BD55" s="81"/>
    </row>
    <row r="56" spans="20:56" x14ac:dyDescent="0.25">
      <c r="X56" s="99" t="s">
        <v>271</v>
      </c>
      <c r="Y56" s="97">
        <f>Y55*A30</f>
        <v>121.10787172011661</v>
      </c>
    </row>
    <row r="57" spans="20:56" x14ac:dyDescent="0.25">
      <c r="X57" s="99" t="s">
        <v>272</v>
      </c>
      <c r="Y57">
        <f>U16-V16</f>
        <v>123.75445005829772</v>
      </c>
    </row>
    <row r="58" spans="20:56" x14ac:dyDescent="0.25">
      <c r="X58" s="99" t="s">
        <v>274</v>
      </c>
      <c r="Y58">
        <f>W16-X16</f>
        <v>91.760590750097151</v>
      </c>
    </row>
    <row r="59" spans="20:56" x14ac:dyDescent="0.25">
      <c r="X59" s="99" t="s">
        <v>273</v>
      </c>
      <c r="Y59">
        <f>Y56-Y57-Y58</f>
        <v>-94.407169088278266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0"/>
  <sheetViews>
    <sheetView topLeftCell="A21" workbookViewId="0">
      <selection activeCell="A21" sqref="A21"/>
    </sheetView>
  </sheetViews>
  <sheetFormatPr defaultRowHeight="15" x14ac:dyDescent="0.25"/>
  <cols>
    <col min="2" max="2" width="36.42578125" customWidth="1"/>
    <col min="3" max="3" width="17" customWidth="1"/>
    <col min="5" max="5" width="16.140625" customWidth="1"/>
    <col min="6" max="6" width="22" customWidth="1"/>
    <col min="7" max="8" width="13.28515625" style="10" customWidth="1"/>
    <col min="10" max="10" width="12" bestFit="1" customWidth="1"/>
    <col min="11" max="11" width="12.5703125" customWidth="1"/>
    <col min="12" max="12" width="11.42578125" customWidth="1"/>
    <col min="13" max="13" width="12.7109375" customWidth="1"/>
    <col min="16" max="16" width="11" bestFit="1" customWidth="1"/>
    <col min="18" max="18" width="11" bestFit="1" customWidth="1"/>
    <col min="20" max="20" width="25.85546875" customWidth="1"/>
    <col min="24" max="24" width="12" bestFit="1" customWidth="1"/>
  </cols>
  <sheetData>
    <row r="1" spans="1:27" x14ac:dyDescent="0.25">
      <c r="A1" s="183" t="s">
        <v>0</v>
      </c>
      <c r="B1" s="183"/>
      <c r="C1" s="183"/>
      <c r="D1" s="183"/>
      <c r="E1" s="183"/>
      <c r="F1" s="183"/>
      <c r="I1" s="15"/>
      <c r="J1" s="15"/>
      <c r="K1" s="16" t="s">
        <v>61</v>
      </c>
      <c r="L1" s="15"/>
      <c r="M1" s="15"/>
      <c r="N1" s="15"/>
      <c r="Q1" s="13"/>
      <c r="R1" s="13"/>
      <c r="S1" s="11" t="s">
        <v>62</v>
      </c>
      <c r="T1" s="13"/>
      <c r="U1" s="13"/>
      <c r="W1" s="5"/>
      <c r="X1" s="21" t="s">
        <v>80</v>
      </c>
      <c r="Y1" s="5"/>
      <c r="Z1" s="5"/>
      <c r="AA1" s="5"/>
    </row>
    <row r="2" spans="1:27" x14ac:dyDescent="0.25">
      <c r="A2" s="183"/>
      <c r="B2" s="183"/>
      <c r="C2" s="183"/>
      <c r="D2" s="183"/>
      <c r="E2" s="183"/>
      <c r="F2" s="183"/>
      <c r="G2" s="29"/>
      <c r="H2" s="29"/>
      <c r="I2" s="15"/>
      <c r="J2" s="16" t="s">
        <v>18</v>
      </c>
      <c r="K2" s="15"/>
      <c r="L2" s="15"/>
      <c r="M2" s="15"/>
      <c r="N2" s="15"/>
      <c r="Q2" s="13"/>
      <c r="R2" s="11" t="s">
        <v>17</v>
      </c>
      <c r="S2" s="11"/>
      <c r="T2" s="13"/>
      <c r="U2" s="13"/>
      <c r="W2" s="21" t="s">
        <v>81</v>
      </c>
      <c r="X2" s="21"/>
      <c r="Y2" s="5"/>
      <c r="Z2" s="5"/>
      <c r="AA2" s="5"/>
    </row>
    <row r="3" spans="1:27" x14ac:dyDescent="0.25">
      <c r="A3" s="4" t="s">
        <v>1</v>
      </c>
      <c r="B3" s="1"/>
      <c r="C3" s="1"/>
      <c r="D3" s="1"/>
      <c r="E3" s="1"/>
      <c r="F3" s="1"/>
      <c r="I3" s="15"/>
      <c r="J3" s="15" t="s">
        <v>21</v>
      </c>
      <c r="K3" s="15"/>
      <c r="L3" s="15"/>
      <c r="M3" s="15"/>
      <c r="N3" s="15"/>
      <c r="Q3" s="13"/>
      <c r="R3" s="13" t="s">
        <v>21</v>
      </c>
      <c r="S3" s="13"/>
      <c r="T3" s="13"/>
      <c r="U3" s="13"/>
      <c r="W3" s="23" t="s">
        <v>82</v>
      </c>
      <c r="X3" s="5"/>
      <c r="Y3" s="5"/>
      <c r="Z3" s="5"/>
      <c r="AA3" s="5"/>
    </row>
    <row r="4" spans="1:27" x14ac:dyDescent="0.25">
      <c r="A4" s="1" t="s">
        <v>4</v>
      </c>
      <c r="B4" s="1"/>
      <c r="C4" s="1"/>
      <c r="D4" s="1"/>
      <c r="E4" s="1"/>
      <c r="F4" s="1"/>
      <c r="I4" s="15"/>
      <c r="J4" s="15">
        <f>A28</f>
        <v>10</v>
      </c>
      <c r="K4" s="15" t="s">
        <v>14</v>
      </c>
      <c r="L4" s="15"/>
      <c r="M4" s="15"/>
      <c r="N4" s="15"/>
      <c r="Q4" s="13"/>
      <c r="R4" s="13">
        <f>A28</f>
        <v>10</v>
      </c>
      <c r="S4" s="13" t="s">
        <v>14</v>
      </c>
      <c r="T4" s="13"/>
      <c r="U4" s="13"/>
      <c r="W4" s="23" t="s">
        <v>83</v>
      </c>
      <c r="X4" s="5"/>
      <c r="Y4" s="5"/>
      <c r="Z4" s="5"/>
      <c r="AA4" s="5"/>
    </row>
    <row r="5" spans="1:27" ht="15.75" thickBot="1" x14ac:dyDescent="0.3">
      <c r="A5" s="1"/>
      <c r="B5" s="6" t="s">
        <v>6</v>
      </c>
      <c r="C5" s="6" t="s">
        <v>7</v>
      </c>
      <c r="D5" s="1"/>
      <c r="E5" s="1"/>
      <c r="F5" s="1"/>
      <c r="I5" s="15"/>
      <c r="J5" s="15">
        <f>A28*(1+A24)</f>
        <v>11.100000000000001</v>
      </c>
      <c r="K5" s="15" t="s">
        <v>15</v>
      </c>
      <c r="L5" s="15"/>
      <c r="M5" s="15"/>
      <c r="N5" s="15"/>
      <c r="Q5" s="13"/>
      <c r="R5" s="13">
        <f>R4*(1+A24*(1-A32))</f>
        <v>10.11</v>
      </c>
      <c r="S5" s="13" t="s">
        <v>15</v>
      </c>
      <c r="T5" s="13"/>
      <c r="U5" s="13"/>
      <c r="W5" s="23" t="s">
        <v>84</v>
      </c>
      <c r="X5" s="5"/>
      <c r="Y5" s="5"/>
      <c r="Z5" s="5"/>
      <c r="AA5" s="5"/>
    </row>
    <row r="6" spans="1:27" ht="15.75" thickBot="1" x14ac:dyDescent="0.3">
      <c r="A6" s="1" t="s">
        <v>3</v>
      </c>
      <c r="B6" s="1">
        <v>61.08</v>
      </c>
      <c r="C6" s="1">
        <v>1.01</v>
      </c>
      <c r="D6" s="1"/>
      <c r="E6" s="1"/>
      <c r="F6" s="1"/>
      <c r="I6" s="15"/>
      <c r="J6" s="15">
        <f>A29*(1-A25)</f>
        <v>375</v>
      </c>
      <c r="K6" s="15" t="s">
        <v>20</v>
      </c>
      <c r="L6" s="15"/>
      <c r="M6" s="15"/>
      <c r="N6" s="15"/>
      <c r="P6" s="45">
        <f>R6-J6</f>
        <v>119.5</v>
      </c>
      <c r="Q6" s="13"/>
      <c r="R6" s="13">
        <f>A29*(1-A25*(1-A33))</f>
        <v>494.5</v>
      </c>
      <c r="S6" s="13" t="s">
        <v>20</v>
      </c>
      <c r="T6" s="13"/>
      <c r="U6" s="13"/>
      <c r="W6" s="5"/>
      <c r="X6" s="5"/>
      <c r="Y6" s="5"/>
      <c r="Z6" s="5"/>
      <c r="AA6" s="5"/>
    </row>
    <row r="7" spans="1:27" x14ac:dyDescent="0.25">
      <c r="A7" s="1" t="s">
        <v>2</v>
      </c>
      <c r="B7" s="1">
        <v>18.0153</v>
      </c>
      <c r="C7" s="1">
        <v>1</v>
      </c>
      <c r="D7" s="1"/>
      <c r="E7" s="1"/>
      <c r="F7" s="1"/>
      <c r="I7" s="15"/>
      <c r="J7" s="15"/>
      <c r="K7" s="15"/>
      <c r="L7" s="15"/>
      <c r="M7" s="15"/>
      <c r="N7" s="15"/>
      <c r="Q7" s="13"/>
      <c r="R7" s="13"/>
      <c r="S7" s="13"/>
      <c r="T7" s="13"/>
      <c r="U7" s="13"/>
      <c r="W7" s="23" t="s">
        <v>85</v>
      </c>
      <c r="X7" s="5"/>
      <c r="Y7" s="5"/>
      <c r="Z7" s="23" t="s">
        <v>86</v>
      </c>
      <c r="AA7" s="5"/>
    </row>
    <row r="8" spans="1:27" x14ac:dyDescent="0.25">
      <c r="A8" s="1"/>
      <c r="B8" s="1"/>
      <c r="C8" s="1"/>
      <c r="D8" s="1"/>
      <c r="E8" s="1"/>
      <c r="F8" s="1"/>
      <c r="I8" s="15"/>
      <c r="J8" s="24" t="s">
        <v>29</v>
      </c>
      <c r="K8" s="15"/>
      <c r="L8" s="15"/>
      <c r="M8" s="15"/>
      <c r="N8" s="15"/>
      <c r="Q8" s="13"/>
      <c r="R8" s="27" t="s">
        <v>29</v>
      </c>
      <c r="S8" s="13"/>
      <c r="T8" s="13"/>
      <c r="U8" s="13"/>
      <c r="W8" s="23" t="s">
        <v>46</v>
      </c>
      <c r="X8" s="5"/>
      <c r="Y8" s="5"/>
      <c r="Z8" s="23" t="s">
        <v>77</v>
      </c>
      <c r="AA8" s="5"/>
    </row>
    <row r="9" spans="1:27" x14ac:dyDescent="0.25">
      <c r="A9" s="1" t="s">
        <v>9</v>
      </c>
      <c r="B9" s="1"/>
      <c r="C9" s="1"/>
      <c r="D9" s="1"/>
      <c r="E9" s="1"/>
      <c r="F9" s="1"/>
      <c r="I9" s="15"/>
      <c r="J9" s="24" t="s">
        <v>30</v>
      </c>
      <c r="K9" s="15"/>
      <c r="L9" s="15"/>
      <c r="M9" s="15"/>
      <c r="N9" s="15"/>
      <c r="Q9" s="13"/>
      <c r="R9" s="27" t="s">
        <v>74</v>
      </c>
      <c r="S9" s="13"/>
      <c r="T9" s="13"/>
      <c r="U9" s="13"/>
      <c r="W9" s="5"/>
      <c r="X9" s="5"/>
      <c r="Y9" s="5"/>
      <c r="Z9" s="5"/>
      <c r="AA9" s="5"/>
    </row>
    <row r="10" spans="1:27" x14ac:dyDescent="0.25">
      <c r="A10" s="3">
        <v>0.7</v>
      </c>
      <c r="B10" s="1" t="s">
        <v>2</v>
      </c>
      <c r="C10" s="1"/>
      <c r="D10" s="1"/>
      <c r="E10" s="1"/>
      <c r="F10" s="1"/>
      <c r="I10" s="15"/>
      <c r="J10" s="24" t="s">
        <v>32</v>
      </c>
      <c r="K10" s="15"/>
      <c r="L10" s="15"/>
      <c r="M10" s="15"/>
      <c r="N10" s="15"/>
      <c r="Q10" s="13"/>
      <c r="R10" s="13" t="s">
        <v>60</v>
      </c>
      <c r="S10" s="13"/>
      <c r="T10" s="13"/>
      <c r="U10" s="13"/>
      <c r="W10" s="5"/>
      <c r="X10" s="23" t="s">
        <v>87</v>
      </c>
      <c r="Y10" s="5"/>
      <c r="Z10" s="5"/>
      <c r="AA10" s="5"/>
    </row>
    <row r="11" spans="1:27" x14ac:dyDescent="0.25">
      <c r="A11" s="3">
        <v>0.3</v>
      </c>
      <c r="B11" s="1" t="s">
        <v>3</v>
      </c>
      <c r="C11" s="1"/>
      <c r="D11" s="1"/>
      <c r="E11" s="1"/>
      <c r="F11" s="1"/>
      <c r="I11" s="15"/>
      <c r="J11" s="15"/>
      <c r="K11" s="15"/>
      <c r="L11" s="15"/>
      <c r="M11" s="15"/>
      <c r="N11" s="15"/>
      <c r="Q11" s="13"/>
      <c r="R11" s="13"/>
      <c r="S11" s="13"/>
      <c r="T11" s="13"/>
      <c r="U11" s="13"/>
      <c r="W11" s="5"/>
      <c r="X11" s="23" t="s">
        <v>88</v>
      </c>
      <c r="Y11" s="5"/>
      <c r="Z11" s="5"/>
      <c r="AA11" s="5"/>
    </row>
    <row r="12" spans="1:27" x14ac:dyDescent="0.25">
      <c r="A12" s="1"/>
      <c r="B12" s="1"/>
      <c r="C12" s="1"/>
      <c r="D12" s="1"/>
      <c r="E12" s="1"/>
      <c r="F12" s="1"/>
      <c r="I12" s="15"/>
      <c r="J12" s="24" t="s">
        <v>31</v>
      </c>
      <c r="K12" s="15"/>
      <c r="L12" s="15"/>
      <c r="M12" s="15"/>
      <c r="N12" s="15"/>
      <c r="Q12" s="13"/>
      <c r="R12" s="13">
        <f>R6*R5</f>
        <v>4999.3949999999995</v>
      </c>
      <c r="S12" s="13" t="s">
        <v>23</v>
      </c>
      <c r="T12" s="13"/>
      <c r="U12" s="13"/>
      <c r="W12" s="5"/>
      <c r="X12" s="22">
        <f>J23/R25</f>
        <v>7.9898778540358357</v>
      </c>
      <c r="Y12" s="5" t="s">
        <v>89</v>
      </c>
      <c r="Z12" s="5" t="s">
        <v>93</v>
      </c>
      <c r="AA12" s="5"/>
    </row>
    <row r="13" spans="1:27" x14ac:dyDescent="0.25">
      <c r="A13" s="1" t="s">
        <v>5</v>
      </c>
      <c r="B13" s="1"/>
      <c r="C13" s="1"/>
      <c r="D13" s="1"/>
      <c r="E13" s="1"/>
      <c r="F13" s="1"/>
      <c r="I13" s="15"/>
      <c r="J13" s="15">
        <f>J6*J5</f>
        <v>4162.5000000000009</v>
      </c>
      <c r="K13" s="15" t="s">
        <v>23</v>
      </c>
      <c r="L13" s="15"/>
      <c r="M13" s="15"/>
      <c r="N13" s="15"/>
      <c r="Q13" s="27" t="s">
        <v>26</v>
      </c>
      <c r="R13" s="44">
        <f>R6*1</f>
        <v>494.5</v>
      </c>
      <c r="S13" s="13" t="s">
        <v>24</v>
      </c>
      <c r="T13" s="13"/>
      <c r="U13" s="13"/>
      <c r="W13" s="5"/>
      <c r="X13" s="5"/>
      <c r="Y13" s="5"/>
      <c r="Z13" s="5"/>
      <c r="AA13" s="5"/>
    </row>
    <row r="14" spans="1:27" x14ac:dyDescent="0.25">
      <c r="A14" s="36">
        <f>A10*B6+A11*B7</f>
        <v>48.160589999999992</v>
      </c>
      <c r="B14" s="1" t="s">
        <v>8</v>
      </c>
      <c r="C14" s="1"/>
      <c r="D14" s="1"/>
      <c r="E14" s="1"/>
      <c r="F14" s="1"/>
      <c r="I14" s="24" t="s">
        <v>26</v>
      </c>
      <c r="J14" s="15">
        <f>J6*1</f>
        <v>375</v>
      </c>
      <c r="K14" s="15" t="s">
        <v>24</v>
      </c>
      <c r="L14" s="15"/>
      <c r="M14" s="15"/>
      <c r="N14" s="15"/>
      <c r="Q14" s="13"/>
      <c r="R14" s="13"/>
      <c r="S14" s="13"/>
      <c r="T14" s="13"/>
      <c r="U14" s="13"/>
      <c r="W14" s="23" t="s">
        <v>94</v>
      </c>
      <c r="X14" s="5"/>
      <c r="Y14" s="5"/>
      <c r="Z14" s="5"/>
      <c r="AA14" s="5"/>
    </row>
    <row r="15" spans="1:27" x14ac:dyDescent="0.25">
      <c r="A15" s="36">
        <f>A10*C6+A11*C7</f>
        <v>1.0069999999999999</v>
      </c>
      <c r="B15" s="1" t="s">
        <v>7</v>
      </c>
      <c r="C15" s="1"/>
      <c r="D15" s="1"/>
      <c r="E15" s="1"/>
      <c r="F15" s="1"/>
      <c r="I15" s="15"/>
      <c r="J15" s="15"/>
      <c r="K15" s="24" t="s">
        <v>113</v>
      </c>
      <c r="L15" s="15"/>
      <c r="M15" s="15"/>
      <c r="N15" s="15"/>
      <c r="Q15" s="13"/>
      <c r="R15" s="27" t="s">
        <v>63</v>
      </c>
      <c r="S15" s="13"/>
      <c r="T15" s="13"/>
      <c r="U15" s="13"/>
      <c r="W15" s="23" t="s">
        <v>95</v>
      </c>
      <c r="X15" s="21"/>
      <c r="Y15" s="5"/>
      <c r="Z15" s="5"/>
      <c r="AA15" s="5"/>
    </row>
    <row r="16" spans="1:27" x14ac:dyDescent="0.25">
      <c r="A16" s="1"/>
      <c r="B16" s="1"/>
      <c r="C16" s="1"/>
      <c r="D16" s="1"/>
      <c r="E16" s="1"/>
      <c r="F16" s="1"/>
      <c r="I16" s="24" t="s">
        <v>25</v>
      </c>
      <c r="J16" s="15">
        <f>J14*A24</f>
        <v>41.25</v>
      </c>
      <c r="K16" s="15" t="s">
        <v>22</v>
      </c>
      <c r="L16" s="15"/>
      <c r="M16" s="15"/>
      <c r="N16" s="15"/>
      <c r="Q16" s="13"/>
      <c r="R16" s="13">
        <f>R12*A20</f>
        <v>1028375.5514999998</v>
      </c>
      <c r="S16" s="13" t="s">
        <v>66</v>
      </c>
      <c r="T16" s="13"/>
      <c r="U16" s="13"/>
      <c r="W16" s="23" t="s">
        <v>96</v>
      </c>
      <c r="X16" s="21"/>
      <c r="Y16" s="5"/>
      <c r="Z16" s="5"/>
      <c r="AA16" s="5"/>
    </row>
    <row r="17" spans="1:28" x14ac:dyDescent="0.25">
      <c r="A17" s="8">
        <v>0.19</v>
      </c>
      <c r="B17" s="1" t="s">
        <v>68</v>
      </c>
      <c r="C17" s="1"/>
      <c r="D17" s="1"/>
      <c r="E17" s="1"/>
      <c r="F17" s="1"/>
      <c r="I17" s="15"/>
      <c r="J17" s="15"/>
      <c r="K17" s="15"/>
      <c r="L17" s="15"/>
      <c r="M17" s="15"/>
      <c r="N17" s="15"/>
      <c r="Q17" s="13"/>
      <c r="R17" s="13">
        <f>R16*A36/A21</f>
        <v>10599021.203271709</v>
      </c>
      <c r="S17" s="13" t="s">
        <v>69</v>
      </c>
      <c r="T17" s="13"/>
      <c r="U17" s="13"/>
      <c r="W17" s="23" t="s">
        <v>97</v>
      </c>
      <c r="X17" s="5"/>
      <c r="Y17" s="5"/>
      <c r="Z17" s="5"/>
      <c r="AA17" s="5"/>
    </row>
    <row r="18" spans="1:28" ht="15.75" thickBot="1" x14ac:dyDescent="0.3">
      <c r="A18" s="1"/>
      <c r="B18" s="1"/>
      <c r="C18" s="1"/>
      <c r="D18" s="1"/>
      <c r="E18" s="1"/>
      <c r="F18" s="1"/>
      <c r="I18" s="15"/>
      <c r="J18" s="24" t="s">
        <v>112</v>
      </c>
      <c r="K18" s="15"/>
      <c r="L18" s="15"/>
      <c r="M18" s="15"/>
      <c r="N18" s="15"/>
      <c r="Q18" s="13"/>
      <c r="R18" s="13"/>
      <c r="S18" s="13"/>
      <c r="T18" s="13"/>
      <c r="U18" s="13"/>
      <c r="W18" s="23" t="s">
        <v>98</v>
      </c>
      <c r="X18" s="5"/>
      <c r="Y18" s="5"/>
      <c r="Z18" s="5"/>
      <c r="AA18" s="5"/>
    </row>
    <row r="19" spans="1:28" x14ac:dyDescent="0.25">
      <c r="A19" s="4" t="s">
        <v>12</v>
      </c>
      <c r="B19" s="1"/>
      <c r="C19" s="1"/>
      <c r="D19" s="1"/>
      <c r="E19" s="1"/>
      <c r="F19" s="1"/>
      <c r="I19" s="15"/>
      <c r="J19" s="24" t="s">
        <v>111</v>
      </c>
      <c r="K19" s="15"/>
      <c r="L19" s="15"/>
      <c r="M19" s="15"/>
      <c r="N19" s="15"/>
      <c r="Q19" s="51"/>
      <c r="R19" s="52" t="s">
        <v>67</v>
      </c>
      <c r="S19" s="53"/>
      <c r="T19" s="53"/>
      <c r="U19" s="54"/>
      <c r="W19" s="23" t="s">
        <v>99</v>
      </c>
      <c r="X19" s="5"/>
      <c r="Y19" s="5"/>
      <c r="Z19" s="5"/>
      <c r="AA19" s="5"/>
    </row>
    <row r="20" spans="1:28" ht="15.75" thickBot="1" x14ac:dyDescent="0.3">
      <c r="A20" s="8">
        <v>205.7</v>
      </c>
      <c r="B20" s="1" t="s">
        <v>65</v>
      </c>
      <c r="C20" s="19" t="s">
        <v>64</v>
      </c>
      <c r="D20" s="1"/>
      <c r="E20" s="1"/>
      <c r="F20" s="1"/>
      <c r="I20" s="15"/>
      <c r="J20" s="24" t="s">
        <v>114</v>
      </c>
      <c r="K20" s="15"/>
      <c r="L20" s="15"/>
      <c r="M20" s="15"/>
      <c r="N20" s="15"/>
      <c r="Q20" s="55"/>
      <c r="R20" s="56">
        <f>R17/A17</f>
        <v>55784322.12248268</v>
      </c>
      <c r="S20" s="57" t="s">
        <v>72</v>
      </c>
      <c r="T20" s="57"/>
      <c r="U20" s="58"/>
      <c r="W20" s="5"/>
      <c r="X20" s="5">
        <f>J14/J16</f>
        <v>9.0909090909090917</v>
      </c>
      <c r="Y20" s="5" t="s">
        <v>89</v>
      </c>
      <c r="Z20" s="5"/>
      <c r="AA20" s="5"/>
    </row>
    <row r="21" spans="1:28" ht="15.75" thickBot="1" x14ac:dyDescent="0.3">
      <c r="A21" s="8">
        <v>44.01</v>
      </c>
      <c r="B21" s="1" t="s">
        <v>13</v>
      </c>
      <c r="C21" s="1"/>
      <c r="D21" s="1"/>
      <c r="E21" s="1"/>
      <c r="F21" s="1"/>
      <c r="I21" s="15"/>
      <c r="J21" s="24" t="s">
        <v>110</v>
      </c>
      <c r="K21" s="15"/>
      <c r="L21" s="15"/>
      <c r="M21" s="15"/>
      <c r="N21" s="15"/>
      <c r="Q21" s="48" t="s">
        <v>35</v>
      </c>
      <c r="R21" s="47">
        <f>R20*A14</f>
        <v>2686605866.1688175</v>
      </c>
      <c r="S21" s="49" t="s">
        <v>73</v>
      </c>
      <c r="T21" s="49"/>
      <c r="U21" s="50"/>
      <c r="W21" s="46"/>
      <c r="X21" s="5"/>
      <c r="Y21" s="5"/>
      <c r="Z21" s="5"/>
      <c r="AA21" s="5"/>
    </row>
    <row r="22" spans="1:28" x14ac:dyDescent="0.25">
      <c r="A22" s="1"/>
      <c r="B22" s="1"/>
      <c r="C22" s="1"/>
      <c r="D22" s="1"/>
      <c r="E22" s="1"/>
      <c r="F22" s="1"/>
      <c r="I22" s="15"/>
      <c r="J22" s="16">
        <f>O35</f>
        <v>47.85</v>
      </c>
      <c r="K22" s="15" t="s">
        <v>38</v>
      </c>
      <c r="L22" s="15" t="s">
        <v>90</v>
      </c>
      <c r="M22" s="15"/>
      <c r="N22" s="15"/>
      <c r="Q22" s="13"/>
      <c r="R22" s="13"/>
      <c r="S22" s="13"/>
      <c r="T22" s="13"/>
      <c r="U22" s="13"/>
    </row>
    <row r="23" spans="1:28" x14ac:dyDescent="0.25">
      <c r="A23" s="4" t="s">
        <v>10</v>
      </c>
      <c r="B23" s="1"/>
      <c r="C23" s="1"/>
      <c r="D23" s="1"/>
      <c r="E23" s="1"/>
      <c r="F23" s="1"/>
      <c r="I23" s="15"/>
      <c r="J23" s="12">
        <f>J22*A37</f>
        <v>43408802.25</v>
      </c>
      <c r="K23" s="15" t="s">
        <v>38</v>
      </c>
      <c r="L23" s="15" t="s">
        <v>79</v>
      </c>
      <c r="M23" s="15"/>
      <c r="N23" s="15"/>
      <c r="Q23" s="13"/>
      <c r="R23" s="27" t="s">
        <v>75</v>
      </c>
      <c r="S23" s="13"/>
      <c r="T23" s="13"/>
      <c r="U23" s="13"/>
    </row>
    <row r="24" spans="1:28" x14ac:dyDescent="0.25">
      <c r="A24" s="28">
        <v>0.11</v>
      </c>
      <c r="B24" s="1" t="s">
        <v>11</v>
      </c>
      <c r="C24" s="1"/>
      <c r="D24" s="1"/>
      <c r="E24" s="1"/>
      <c r="F24" s="1"/>
      <c r="I24" s="15"/>
      <c r="J24" s="15"/>
      <c r="K24" s="15"/>
      <c r="L24" s="15"/>
      <c r="M24" s="15"/>
      <c r="N24" s="15"/>
      <c r="Q24" s="13"/>
      <c r="R24" s="27" t="s">
        <v>77</v>
      </c>
      <c r="S24" s="13"/>
      <c r="T24" s="13"/>
      <c r="U24" s="13"/>
    </row>
    <row r="25" spans="1:28" x14ac:dyDescent="0.25">
      <c r="A25" s="40">
        <v>0.25</v>
      </c>
      <c r="B25" s="37" t="s">
        <v>19</v>
      </c>
      <c r="C25" s="1"/>
      <c r="D25" s="1"/>
      <c r="E25" s="1"/>
      <c r="F25" s="1"/>
      <c r="I25" s="15"/>
      <c r="J25" s="15"/>
      <c r="K25" s="15"/>
      <c r="L25" s="15"/>
      <c r="M25" s="15"/>
      <c r="N25" s="15"/>
      <c r="Q25" s="13"/>
      <c r="R25" s="12">
        <f>R21/R13</f>
        <v>5432974.4513019565</v>
      </c>
      <c r="S25" s="13" t="s">
        <v>76</v>
      </c>
      <c r="T25" s="13" t="s">
        <v>78</v>
      </c>
      <c r="U25" s="13"/>
    </row>
    <row r="26" spans="1:28" x14ac:dyDescent="0.25">
      <c r="A26" s="1"/>
      <c r="B26" s="1"/>
      <c r="C26" s="1"/>
      <c r="D26" s="1"/>
      <c r="E26" s="1"/>
      <c r="F26" s="1"/>
      <c r="I26" s="15"/>
      <c r="J26" s="15"/>
      <c r="K26" s="15"/>
      <c r="L26" s="15"/>
      <c r="M26" s="15"/>
      <c r="N26" s="15"/>
      <c r="Q26" s="13"/>
      <c r="R26" s="13"/>
      <c r="S26" s="13"/>
      <c r="T26" s="13"/>
      <c r="U26" s="13"/>
    </row>
    <row r="27" spans="1:28" x14ac:dyDescent="0.25">
      <c r="A27" s="4" t="s">
        <v>28</v>
      </c>
      <c r="B27" s="1"/>
      <c r="C27" s="1"/>
      <c r="D27" s="1"/>
      <c r="E27" s="1"/>
      <c r="F27" s="1"/>
      <c r="I27" s="15"/>
      <c r="J27" s="15"/>
      <c r="K27" s="15"/>
      <c r="L27" s="15"/>
      <c r="M27" s="15"/>
      <c r="N27" s="15"/>
      <c r="X27" s="11" t="s">
        <v>104</v>
      </c>
      <c r="Y27" s="13"/>
      <c r="Z27" s="13"/>
      <c r="AA27" s="13"/>
      <c r="AB27" s="13"/>
    </row>
    <row r="28" spans="1:28" s="9" customFormat="1" x14ac:dyDescent="0.25">
      <c r="A28" s="43">
        <v>10</v>
      </c>
      <c r="B28" s="6" t="s">
        <v>14</v>
      </c>
      <c r="C28" s="2"/>
      <c r="D28" s="2"/>
      <c r="E28" s="2"/>
      <c r="F28" s="2"/>
      <c r="G28" s="30"/>
      <c r="H28" s="30"/>
      <c r="I28" s="15"/>
      <c r="J28" s="16" t="s">
        <v>27</v>
      </c>
      <c r="K28" s="15"/>
      <c r="L28" s="15"/>
      <c r="M28" s="15"/>
      <c r="N28" s="15"/>
      <c r="O28" s="15"/>
      <c r="P28" s="15"/>
      <c r="Q28" s="16" t="s">
        <v>27</v>
      </c>
      <c r="R28" s="15"/>
      <c r="S28" s="15"/>
      <c r="T28" s="15"/>
      <c r="X28" s="31" t="s">
        <v>100</v>
      </c>
      <c r="Y28" s="32"/>
      <c r="Z28" s="32"/>
      <c r="AA28" s="32"/>
      <c r="AB28" s="32"/>
    </row>
    <row r="29" spans="1:28" x14ac:dyDescent="0.25">
      <c r="A29" s="8">
        <v>500</v>
      </c>
      <c r="B29" s="1" t="s">
        <v>16</v>
      </c>
      <c r="C29" s="1"/>
      <c r="D29" s="1"/>
      <c r="E29" s="1"/>
      <c r="F29" s="1"/>
      <c r="I29" s="15"/>
      <c r="J29" s="24" t="s">
        <v>47</v>
      </c>
      <c r="K29" s="15"/>
      <c r="L29" s="15"/>
      <c r="M29" s="15"/>
      <c r="N29" s="15"/>
      <c r="O29" s="15"/>
      <c r="P29" s="15"/>
      <c r="Q29" s="24" t="s">
        <v>115</v>
      </c>
      <c r="R29" s="15"/>
      <c r="S29" s="15"/>
      <c r="T29" s="15"/>
      <c r="X29" s="27" t="s">
        <v>101</v>
      </c>
      <c r="Y29" s="13"/>
      <c r="Z29" s="13"/>
      <c r="AA29" s="13"/>
      <c r="AB29" s="13"/>
    </row>
    <row r="30" spans="1:28" x14ac:dyDescent="0.25">
      <c r="A30" s="1"/>
      <c r="B30" s="37" t="s">
        <v>119</v>
      </c>
      <c r="C30" s="1"/>
      <c r="D30" s="1"/>
      <c r="E30" s="1"/>
      <c r="F30" s="1"/>
      <c r="I30" s="15"/>
      <c r="J30" s="15"/>
      <c r="K30" s="24" t="s">
        <v>25</v>
      </c>
      <c r="L30" s="24" t="s">
        <v>35</v>
      </c>
      <c r="M30" s="15"/>
      <c r="N30" s="24" t="s">
        <v>107</v>
      </c>
      <c r="O30" s="15"/>
      <c r="P30" s="15"/>
      <c r="Q30" s="17">
        <v>201.2</v>
      </c>
      <c r="R30" s="15" t="s">
        <v>48</v>
      </c>
      <c r="S30" s="15"/>
      <c r="T30" s="15"/>
      <c r="X30" s="13"/>
      <c r="Y30" s="13" t="s">
        <v>102</v>
      </c>
      <c r="Z30" s="13"/>
      <c r="AA30" s="13"/>
      <c r="AB30" s="13"/>
    </row>
    <row r="31" spans="1:28" ht="45" x14ac:dyDescent="0.25">
      <c r="A31" s="4" t="s">
        <v>57</v>
      </c>
      <c r="B31" s="1"/>
      <c r="C31" s="1"/>
      <c r="D31" s="1"/>
      <c r="E31" s="1"/>
      <c r="F31" s="1"/>
      <c r="I31" s="15"/>
      <c r="J31" s="25" t="s">
        <v>33</v>
      </c>
      <c r="K31" s="25" t="s">
        <v>39</v>
      </c>
      <c r="L31" s="25" t="s">
        <v>36</v>
      </c>
      <c r="M31" s="38" t="s">
        <v>40</v>
      </c>
      <c r="N31" s="25" t="s">
        <v>108</v>
      </c>
      <c r="O31" s="39" t="s">
        <v>109</v>
      </c>
      <c r="P31" s="15"/>
      <c r="Q31" s="35" t="s">
        <v>44</v>
      </c>
      <c r="R31" s="26"/>
      <c r="S31" s="25"/>
      <c r="T31" s="25"/>
      <c r="X31" s="13">
        <f>A17*A21/A14</f>
        <v>0.17362536463942824</v>
      </c>
      <c r="Y31" s="13" t="s">
        <v>103</v>
      </c>
      <c r="Z31" s="13"/>
      <c r="AA31" s="13"/>
      <c r="AB31" s="13"/>
    </row>
    <row r="32" spans="1:28" x14ac:dyDescent="0.25">
      <c r="A32" s="28">
        <v>0.9</v>
      </c>
      <c r="B32" s="18" t="s">
        <v>58</v>
      </c>
      <c r="C32" s="1"/>
      <c r="D32" s="1"/>
      <c r="E32" s="1"/>
      <c r="F32" s="1"/>
      <c r="I32" s="15"/>
      <c r="J32" s="15">
        <v>650</v>
      </c>
      <c r="K32" s="15">
        <v>57.53</v>
      </c>
      <c r="L32" s="15">
        <v>9158</v>
      </c>
      <c r="M32" s="33">
        <f>L32/K32</f>
        <v>159.18651138536416</v>
      </c>
      <c r="N32" s="15">
        <v>133.9</v>
      </c>
      <c r="O32" s="15">
        <f>L32/(K32+N32)</f>
        <v>47.839941492973928</v>
      </c>
      <c r="P32" s="15"/>
      <c r="Q32" s="15">
        <v>535</v>
      </c>
      <c r="R32" s="15" t="s">
        <v>49</v>
      </c>
      <c r="S32" s="15"/>
      <c r="T32" s="15"/>
      <c r="X32" s="13"/>
      <c r="Y32" s="13"/>
      <c r="Z32" s="13"/>
      <c r="AA32" s="13"/>
      <c r="AB32" s="13"/>
    </row>
    <row r="33" spans="1:28" x14ac:dyDescent="0.25">
      <c r="A33" s="28">
        <f>((A25-A24)+A24*0.9)/A25</f>
        <v>0.95600000000000007</v>
      </c>
      <c r="B33" s="37" t="s">
        <v>59</v>
      </c>
      <c r="C33" s="1"/>
      <c r="D33" s="1"/>
      <c r="E33" s="1"/>
      <c r="F33" s="1"/>
      <c r="I33" s="15"/>
      <c r="J33" s="15">
        <v>500</v>
      </c>
      <c r="K33" s="15">
        <v>44.26</v>
      </c>
      <c r="L33" s="15">
        <v>7045</v>
      </c>
      <c r="M33" s="33">
        <f>L33/K33</f>
        <v>159.17306823316764</v>
      </c>
      <c r="N33" s="15">
        <v>103</v>
      </c>
      <c r="O33" s="15">
        <f>L33/(K33+N33)</f>
        <v>47.840554121961162</v>
      </c>
      <c r="P33" s="15"/>
      <c r="Q33" s="15">
        <v>201</v>
      </c>
      <c r="R33" s="15" t="s">
        <v>43</v>
      </c>
      <c r="S33" s="15"/>
      <c r="T33" s="15"/>
      <c r="X33" s="27" t="s">
        <v>105</v>
      </c>
      <c r="Y33" s="13"/>
      <c r="Z33" s="13"/>
      <c r="AA33" s="13"/>
      <c r="AB33" s="13"/>
    </row>
    <row r="34" spans="1:28" x14ac:dyDescent="0.25">
      <c r="A34" s="1"/>
      <c r="B34" s="1"/>
      <c r="C34" s="1"/>
      <c r="D34" s="1"/>
      <c r="E34" s="1"/>
      <c r="F34" s="1"/>
      <c r="I34" s="15"/>
      <c r="J34" s="15">
        <v>350</v>
      </c>
      <c r="K34" s="15">
        <v>30.98</v>
      </c>
      <c r="L34" s="15">
        <v>4932</v>
      </c>
      <c r="M34" s="33">
        <f>L34/K34</f>
        <v>159.1994835377663</v>
      </c>
      <c r="N34" s="15">
        <v>72.08</v>
      </c>
      <c r="O34" s="15">
        <f>L34/(K34+N34)</f>
        <v>47.855618086551523</v>
      </c>
      <c r="P34" s="15"/>
      <c r="Q34" s="15">
        <v>48.18</v>
      </c>
      <c r="R34" s="15" t="s">
        <v>50</v>
      </c>
      <c r="S34" s="15"/>
      <c r="T34" s="15"/>
      <c r="X34" s="11">
        <f>R5/X31*A20*A36</f>
        <v>5432974.4513019575</v>
      </c>
      <c r="Y34" s="14" t="s">
        <v>76</v>
      </c>
      <c r="Z34" s="13" t="s">
        <v>78</v>
      </c>
      <c r="AA34" s="13"/>
      <c r="AB34" s="13"/>
    </row>
    <row r="35" spans="1:28" x14ac:dyDescent="0.25">
      <c r="A35" s="4" t="s">
        <v>70</v>
      </c>
      <c r="B35" s="1"/>
      <c r="C35" s="1"/>
      <c r="D35" s="1"/>
      <c r="E35" s="1"/>
      <c r="F35" s="1"/>
      <c r="I35" s="15"/>
      <c r="J35" s="15"/>
      <c r="K35" s="15"/>
      <c r="L35" s="15"/>
      <c r="M35" s="34">
        <f>ROUND(AVERAGE(M32:M34),2)</f>
        <v>159.19</v>
      </c>
      <c r="N35" s="15"/>
      <c r="O35" s="12">
        <f>ROUND(AVERAGE(O32:O34),2)</f>
        <v>47.85</v>
      </c>
      <c r="P35" s="15"/>
      <c r="Q35" s="15">
        <v>7870</v>
      </c>
      <c r="R35" s="24" t="s">
        <v>51</v>
      </c>
      <c r="S35" s="15"/>
      <c r="T35" s="15"/>
      <c r="X35" s="13" t="s">
        <v>106</v>
      </c>
      <c r="Y35" s="13"/>
      <c r="Z35" s="13"/>
      <c r="AA35" s="13"/>
      <c r="AB35" s="13"/>
    </row>
    <row r="36" spans="1:28" x14ac:dyDescent="0.25">
      <c r="A36" s="20">
        <v>453.59199999999998</v>
      </c>
      <c r="B36" s="1" t="s">
        <v>71</v>
      </c>
      <c r="C36" s="1"/>
      <c r="D36" s="1"/>
      <c r="E36" s="1"/>
      <c r="F36" s="1"/>
      <c r="I36" s="15"/>
      <c r="J36" s="15"/>
      <c r="K36" s="15"/>
      <c r="L36" s="15"/>
      <c r="M36" s="16"/>
      <c r="N36" s="15"/>
      <c r="O36" s="15"/>
      <c r="P36" s="15"/>
      <c r="Q36" s="16">
        <f>Q35/Q34</f>
        <v>163.34578663345786</v>
      </c>
      <c r="R36" s="24" t="s">
        <v>40</v>
      </c>
      <c r="S36" s="15"/>
      <c r="T36" s="15"/>
    </row>
    <row r="37" spans="1:28" x14ac:dyDescent="0.25">
      <c r="A37" s="8">
        <v>907185</v>
      </c>
      <c r="B37" s="1" t="s">
        <v>92</v>
      </c>
      <c r="C37" s="1" t="s">
        <v>91</v>
      </c>
      <c r="D37" s="1"/>
      <c r="E37" s="1"/>
      <c r="F37" s="1"/>
      <c r="I37" s="15"/>
      <c r="J37" s="15"/>
      <c r="K37" s="15"/>
      <c r="L37" s="15"/>
      <c r="M37" s="16"/>
      <c r="N37" s="15"/>
      <c r="O37" s="15"/>
      <c r="P37" s="15"/>
      <c r="Q37" s="15"/>
      <c r="R37" s="15"/>
      <c r="S37" s="15"/>
      <c r="T37" s="15"/>
    </row>
    <row r="38" spans="1:28" x14ac:dyDescent="0.25">
      <c r="I38" s="15"/>
      <c r="J38" s="15" t="s">
        <v>116</v>
      </c>
      <c r="K38" s="15"/>
      <c r="L38" s="15"/>
      <c r="M38" s="15"/>
      <c r="N38" s="15"/>
      <c r="O38" s="15"/>
      <c r="P38" s="15"/>
      <c r="Q38" s="15"/>
      <c r="R38" s="15"/>
      <c r="S38" s="15"/>
      <c r="T38" s="15"/>
    </row>
    <row r="39" spans="1:28" x14ac:dyDescent="0.25">
      <c r="B39" s="41"/>
      <c r="C39" s="41"/>
      <c r="D39" s="41"/>
      <c r="E39" s="41"/>
      <c r="I39" s="15"/>
      <c r="J39" s="15" t="s">
        <v>117</v>
      </c>
      <c r="K39" s="15"/>
      <c r="L39" s="15"/>
      <c r="M39" s="15"/>
      <c r="N39" s="15"/>
      <c r="O39" s="15"/>
      <c r="P39" s="15"/>
      <c r="Q39" s="15"/>
      <c r="R39" s="15"/>
      <c r="S39" s="15"/>
      <c r="T39" s="15"/>
    </row>
    <row r="40" spans="1:28" x14ac:dyDescent="0.25">
      <c r="H40" s="81"/>
      <c r="I40" s="15"/>
      <c r="J40" s="15" t="s">
        <v>118</v>
      </c>
      <c r="K40" s="15"/>
      <c r="L40" s="15"/>
      <c r="M40" s="15"/>
      <c r="N40" s="15"/>
      <c r="O40" s="15"/>
      <c r="P40" s="15"/>
      <c r="Q40" s="15"/>
      <c r="R40" s="15"/>
      <c r="S40" s="15"/>
      <c r="T40" s="15"/>
    </row>
    <row r="41" spans="1:28" x14ac:dyDescent="0.25">
      <c r="B41" s="11" t="s">
        <v>131</v>
      </c>
      <c r="C41" s="27" t="s">
        <v>133</v>
      </c>
      <c r="D41" s="13"/>
      <c r="E41" s="13"/>
      <c r="F41" s="13"/>
      <c r="G41" s="13"/>
      <c r="H41" s="81"/>
      <c r="I41" s="15"/>
      <c r="J41" s="15" t="s">
        <v>37</v>
      </c>
      <c r="K41" s="15"/>
      <c r="L41" s="15"/>
      <c r="M41" s="15"/>
      <c r="N41" s="15"/>
      <c r="O41" s="15"/>
      <c r="P41" s="15"/>
      <c r="Q41" s="15"/>
      <c r="R41" s="15"/>
      <c r="S41" s="15"/>
      <c r="T41" s="15"/>
    </row>
    <row r="42" spans="1:28" x14ac:dyDescent="0.25">
      <c r="B42" s="60"/>
      <c r="C42" s="61" t="s">
        <v>128</v>
      </c>
      <c r="D42" s="61" t="s">
        <v>120</v>
      </c>
      <c r="E42" s="62" t="s">
        <v>130</v>
      </c>
      <c r="F42" s="63" t="s">
        <v>132</v>
      </c>
      <c r="G42" s="76" t="s">
        <v>127</v>
      </c>
      <c r="H42" s="85"/>
      <c r="I42" s="15"/>
      <c r="J42" s="15" t="s">
        <v>52</v>
      </c>
      <c r="K42" s="15"/>
      <c r="L42" s="15"/>
      <c r="M42" s="15"/>
      <c r="N42" s="15"/>
      <c r="O42" s="15"/>
      <c r="P42" s="15"/>
      <c r="Q42" s="15"/>
      <c r="R42" s="15"/>
      <c r="S42" s="15"/>
      <c r="T42" s="15"/>
    </row>
    <row r="43" spans="1:28" x14ac:dyDescent="0.25">
      <c r="B43" s="64" t="s">
        <v>121</v>
      </c>
      <c r="C43" s="65">
        <v>201.2</v>
      </c>
      <c r="D43" s="65">
        <v>650</v>
      </c>
      <c r="E43" s="66">
        <v>608</v>
      </c>
      <c r="F43" s="67">
        <v>0</v>
      </c>
      <c r="G43" s="82"/>
      <c r="H43" s="84"/>
      <c r="I43" s="15"/>
      <c r="J43" s="15" t="s">
        <v>53</v>
      </c>
      <c r="K43" s="15"/>
      <c r="L43" s="15"/>
      <c r="M43" s="15"/>
      <c r="N43" s="15"/>
      <c r="O43" s="15"/>
      <c r="P43" s="15"/>
      <c r="Q43" s="15"/>
      <c r="R43" s="15"/>
      <c r="S43" s="15"/>
      <c r="T43" s="15"/>
    </row>
    <row r="44" spans="1:28" x14ac:dyDescent="0.25">
      <c r="B44" s="64" t="s">
        <v>126</v>
      </c>
      <c r="C44" s="65">
        <v>201.6</v>
      </c>
      <c r="D44" s="65">
        <v>540</v>
      </c>
      <c r="E44" s="66">
        <v>438.8</v>
      </c>
      <c r="F44" s="68">
        <v>47.8</v>
      </c>
      <c r="G44" s="64">
        <v>7608</v>
      </c>
      <c r="H44" s="42"/>
      <c r="I44" s="15"/>
      <c r="J44" s="15" t="s">
        <v>54</v>
      </c>
      <c r="K44" s="15"/>
      <c r="L44" s="15"/>
      <c r="M44" s="15"/>
      <c r="N44" s="15"/>
      <c r="O44" s="15"/>
      <c r="P44" s="15"/>
      <c r="Q44" s="15"/>
      <c r="R44" s="15"/>
      <c r="S44" s="15"/>
      <c r="T44" s="15"/>
    </row>
    <row r="45" spans="1:28" x14ac:dyDescent="0.25">
      <c r="B45" s="64"/>
      <c r="C45" s="65"/>
      <c r="D45" s="65"/>
      <c r="E45" s="65"/>
      <c r="F45" s="68"/>
      <c r="G45" s="82"/>
      <c r="H45" s="84"/>
      <c r="I45" s="15"/>
      <c r="J45" s="15" t="s">
        <v>55</v>
      </c>
      <c r="K45" s="15"/>
      <c r="L45" s="15"/>
      <c r="M45" s="15"/>
      <c r="N45" s="15"/>
      <c r="O45" s="15"/>
      <c r="P45" s="15"/>
      <c r="Q45" s="15"/>
      <c r="R45" s="15"/>
      <c r="S45" s="15"/>
      <c r="T45" s="15"/>
    </row>
    <row r="46" spans="1:28" x14ac:dyDescent="0.25">
      <c r="B46" s="69" t="s">
        <v>122</v>
      </c>
      <c r="C46" s="70"/>
      <c r="D46" s="71">
        <f>1-D44/D43</f>
        <v>0.16923076923076918</v>
      </c>
      <c r="E46" s="72">
        <f>1-E44/E43</f>
        <v>0.27828947368421053</v>
      </c>
      <c r="F46" s="73"/>
      <c r="G46" s="83"/>
      <c r="H46" s="84"/>
      <c r="I46" s="15"/>
      <c r="J46" s="15"/>
      <c r="K46" s="15" t="s">
        <v>56</v>
      </c>
      <c r="L46" s="15"/>
      <c r="M46" s="15"/>
      <c r="N46" s="15"/>
      <c r="O46" s="15"/>
      <c r="P46" s="15"/>
      <c r="Q46" s="15"/>
      <c r="R46" s="15"/>
      <c r="S46" s="15"/>
      <c r="T46" s="15"/>
    </row>
    <row r="47" spans="1:28" x14ac:dyDescent="0.25">
      <c r="B47" s="89"/>
      <c r="C47" s="65"/>
      <c r="D47" s="87" t="s">
        <v>134</v>
      </c>
      <c r="E47" s="90">
        <f>E43-E44</f>
        <v>169.2</v>
      </c>
      <c r="F47" s="86" t="s">
        <v>138</v>
      </c>
      <c r="G47" s="57"/>
      <c r="H47" s="84"/>
      <c r="I47" s="15"/>
      <c r="J47" s="15"/>
      <c r="K47" s="15"/>
      <c r="L47" s="15"/>
      <c r="M47" s="15"/>
      <c r="N47" s="15"/>
      <c r="O47" s="15"/>
      <c r="P47" s="15"/>
      <c r="Q47" s="15"/>
      <c r="R47" s="15"/>
      <c r="S47" s="15"/>
      <c r="T47" s="15"/>
    </row>
    <row r="48" spans="1:28" x14ac:dyDescent="0.25">
      <c r="B48" s="65"/>
      <c r="C48" s="65"/>
      <c r="D48" s="91" t="s">
        <v>137</v>
      </c>
      <c r="E48" s="92">
        <f>G44/E47</f>
        <v>44.964539007092199</v>
      </c>
      <c r="F48" s="93" t="s">
        <v>135</v>
      </c>
      <c r="G48" s="57"/>
      <c r="H48" s="84"/>
      <c r="I48" s="15"/>
      <c r="J48" s="15"/>
      <c r="K48" s="15"/>
      <c r="L48" s="15"/>
      <c r="M48" s="15"/>
      <c r="N48" s="15"/>
      <c r="O48" s="15"/>
      <c r="P48" s="15"/>
      <c r="Q48" s="15"/>
      <c r="R48" s="15"/>
      <c r="S48" s="15"/>
      <c r="T48" s="15"/>
    </row>
    <row r="49" spans="2:20" x14ac:dyDescent="0.25">
      <c r="B49" s="65"/>
      <c r="C49" s="65"/>
      <c r="D49" s="91" t="s">
        <v>136</v>
      </c>
      <c r="E49" s="92">
        <f>E44/E47</f>
        <v>2.5933806146572107</v>
      </c>
      <c r="F49" s="93" t="s">
        <v>139</v>
      </c>
      <c r="G49" s="57"/>
      <c r="H49" s="84"/>
      <c r="I49" s="15"/>
      <c r="J49" s="15"/>
      <c r="K49" s="15"/>
      <c r="L49" s="15"/>
      <c r="M49" s="15"/>
      <c r="N49" s="15"/>
      <c r="O49" s="15"/>
      <c r="P49" s="15"/>
      <c r="Q49" s="15"/>
      <c r="R49" s="15"/>
      <c r="S49" s="15"/>
      <c r="T49" s="15"/>
    </row>
    <row r="50" spans="2:20" x14ac:dyDescent="0.25">
      <c r="B50" s="13"/>
      <c r="C50" s="13"/>
      <c r="D50" s="13"/>
      <c r="E50" s="13"/>
      <c r="F50" s="75"/>
      <c r="G50" s="13"/>
      <c r="H50" s="84"/>
    </row>
    <row r="51" spans="2:20" x14ac:dyDescent="0.25">
      <c r="B51" s="76" t="s">
        <v>123</v>
      </c>
      <c r="C51" s="61">
        <v>201.2</v>
      </c>
      <c r="D51" s="61">
        <v>650</v>
      </c>
      <c r="E51" s="62">
        <v>583.79999999999995</v>
      </c>
      <c r="F51" s="63">
        <v>5.98</v>
      </c>
      <c r="G51" s="76">
        <v>7594</v>
      </c>
      <c r="H51" s="42"/>
    </row>
    <row r="52" spans="2:20" x14ac:dyDescent="0.25">
      <c r="B52" s="69" t="s">
        <v>122</v>
      </c>
      <c r="C52" s="70"/>
      <c r="D52" s="77">
        <v>0</v>
      </c>
      <c r="E52" s="72">
        <f>1-E51/E43</f>
        <v>3.9802631578947478E-2</v>
      </c>
      <c r="F52" s="74"/>
      <c r="G52" s="83"/>
      <c r="H52" s="84"/>
    </row>
    <row r="53" spans="2:20" x14ac:dyDescent="0.25">
      <c r="B53" s="65"/>
      <c r="C53" s="65"/>
      <c r="D53" s="94" t="s">
        <v>140</v>
      </c>
      <c r="E53" s="88"/>
      <c r="F53" s="57"/>
      <c r="G53" s="57"/>
      <c r="H53" s="84"/>
      <c r="K53" t="s">
        <v>163</v>
      </c>
      <c r="Q53" t="s">
        <v>167</v>
      </c>
    </row>
    <row r="54" spans="2:20" ht="32.25" customHeight="1" x14ac:dyDescent="0.25">
      <c r="B54" s="181" t="s">
        <v>141</v>
      </c>
      <c r="C54" s="181"/>
      <c r="D54" s="181"/>
      <c r="E54" s="92">
        <f>E51/G51</f>
        <v>7.6876481432710031E-2</v>
      </c>
      <c r="F54" s="95" t="s">
        <v>142</v>
      </c>
      <c r="G54" s="57"/>
      <c r="H54" s="84"/>
      <c r="K54">
        <v>8.4</v>
      </c>
      <c r="N54" t="s">
        <v>166</v>
      </c>
      <c r="Q54" t="s">
        <v>166</v>
      </c>
    </row>
    <row r="55" spans="2:20" ht="78" customHeight="1" x14ac:dyDescent="0.25">
      <c r="B55" s="181" t="s">
        <v>143</v>
      </c>
      <c r="C55" s="181"/>
      <c r="D55" s="181"/>
      <c r="E55" s="181"/>
      <c r="F55" s="181"/>
      <c r="G55" s="182"/>
      <c r="H55" s="84"/>
      <c r="K55" t="s">
        <v>164</v>
      </c>
      <c r="N55">
        <v>4.55</v>
      </c>
      <c r="Q55">
        <v>46.53</v>
      </c>
    </row>
    <row r="56" spans="2:20" ht="51" customHeight="1" x14ac:dyDescent="0.25">
      <c r="B56" s="181" t="s">
        <v>144</v>
      </c>
      <c r="C56" s="181"/>
      <c r="D56" s="181"/>
      <c r="E56" s="92">
        <f>E54*E48</f>
        <v>3.4567155481090892</v>
      </c>
      <c r="F56" s="95" t="s">
        <v>139</v>
      </c>
      <c r="G56" s="13"/>
      <c r="H56" s="84"/>
      <c r="K56" s="98">
        <v>0.01</v>
      </c>
    </row>
    <row r="57" spans="2:20" x14ac:dyDescent="0.25">
      <c r="B57" s="13"/>
      <c r="C57" s="13"/>
      <c r="D57" s="13"/>
      <c r="E57" s="13"/>
      <c r="F57" s="13"/>
      <c r="G57" s="13"/>
      <c r="H57" s="84"/>
      <c r="K57" t="s">
        <v>165</v>
      </c>
    </row>
    <row r="58" spans="2:20" x14ac:dyDescent="0.25">
      <c r="B58" s="76" t="s">
        <v>129</v>
      </c>
      <c r="C58" s="61"/>
      <c r="D58" s="61"/>
      <c r="E58" s="61"/>
      <c r="F58" s="62"/>
      <c r="G58" s="13"/>
      <c r="H58" s="84"/>
      <c r="K58">
        <v>0.7</v>
      </c>
    </row>
    <row r="59" spans="2:20" x14ac:dyDescent="0.25">
      <c r="B59" s="78" t="s">
        <v>125</v>
      </c>
      <c r="C59" s="65"/>
      <c r="D59" s="65"/>
      <c r="E59" s="65"/>
      <c r="F59" s="66">
        <f>E51-E44</f>
        <v>144.99999999999994</v>
      </c>
      <c r="G59" s="13"/>
      <c r="H59" s="84"/>
    </row>
    <row r="60" spans="2:20" x14ac:dyDescent="0.25">
      <c r="B60" s="79" t="s">
        <v>124</v>
      </c>
      <c r="C60" s="70"/>
      <c r="D60" s="70"/>
      <c r="E60" s="70"/>
      <c r="F60" s="80">
        <f>F59/F44</f>
        <v>3.0334728033472795</v>
      </c>
      <c r="G60" s="13" t="s">
        <v>145</v>
      </c>
      <c r="H60" s="84"/>
    </row>
  </sheetData>
  <mergeCells count="5">
    <mergeCell ref="B55:G55"/>
    <mergeCell ref="B54:D54"/>
    <mergeCell ref="B56:D56"/>
    <mergeCell ref="A2:F2"/>
    <mergeCell ref="A1:F1"/>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7"/>
  <sheetViews>
    <sheetView topLeftCell="A83" workbookViewId="0">
      <selection activeCell="A114" sqref="A114"/>
    </sheetView>
  </sheetViews>
  <sheetFormatPr defaultRowHeight="15" x14ac:dyDescent="0.25"/>
  <cols>
    <col min="25" max="25" width="10.85546875" customWidth="1"/>
  </cols>
  <sheetData>
    <row r="1" spans="1:53" x14ac:dyDescent="0.25">
      <c r="A1" t="s">
        <v>223</v>
      </c>
      <c r="O1" t="s">
        <v>219</v>
      </c>
      <c r="AE1" s="59" t="s">
        <v>285</v>
      </c>
    </row>
    <row r="2" spans="1:53" x14ac:dyDescent="0.25">
      <c r="P2" t="s">
        <v>220</v>
      </c>
      <c r="AE2" s="59" t="s">
        <v>286</v>
      </c>
    </row>
    <row r="3" spans="1:53" x14ac:dyDescent="0.25">
      <c r="A3" t="s">
        <v>228</v>
      </c>
      <c r="P3" t="s">
        <v>257</v>
      </c>
      <c r="AE3" s="97">
        <v>455</v>
      </c>
      <c r="AF3" s="97" t="s">
        <v>287</v>
      </c>
      <c r="AU3" t="s">
        <v>361</v>
      </c>
    </row>
    <row r="4" spans="1:53" x14ac:dyDescent="0.25">
      <c r="A4" s="59" t="s">
        <v>225</v>
      </c>
      <c r="P4" t="s">
        <v>221</v>
      </c>
      <c r="AE4">
        <f>455/(1-AE6)</f>
        <v>613.70000000000005</v>
      </c>
      <c r="AF4" t="s">
        <v>299</v>
      </c>
      <c r="AU4" t="s">
        <v>362</v>
      </c>
    </row>
    <row r="5" spans="1:53" x14ac:dyDescent="0.25">
      <c r="A5" t="s">
        <v>183</v>
      </c>
      <c r="B5" t="s">
        <v>237</v>
      </c>
      <c r="P5" t="s">
        <v>222</v>
      </c>
      <c r="V5" s="7"/>
      <c r="AE5" s="106">
        <v>0.11</v>
      </c>
      <c r="AF5" t="s">
        <v>290</v>
      </c>
      <c r="AV5" t="s">
        <v>229</v>
      </c>
      <c r="AW5">
        <v>0</v>
      </c>
      <c r="AX5">
        <v>1</v>
      </c>
      <c r="AY5">
        <v>2</v>
      </c>
      <c r="AZ5">
        <v>3</v>
      </c>
    </row>
    <row r="6" spans="1:53" x14ac:dyDescent="0.25">
      <c r="A6">
        <v>455</v>
      </c>
      <c r="B6">
        <f>ParameterEstimation650MWPlant!D23</f>
        <v>455</v>
      </c>
      <c r="C6" t="s">
        <v>41</v>
      </c>
      <c r="D6" t="s">
        <v>224</v>
      </c>
      <c r="AE6" s="106">
        <f>ParameterEstimation650MWPlant!H23</f>
        <v>0.25859540492097122</v>
      </c>
      <c r="AF6" t="s">
        <v>291</v>
      </c>
      <c r="AV6" s="105" t="s">
        <v>293</v>
      </c>
    </row>
    <row r="7" spans="1:53" x14ac:dyDescent="0.25">
      <c r="A7">
        <v>158.69999999999999</v>
      </c>
      <c r="B7">
        <f>ParameterEstimation650MWPlant!D22-ParameterEstimation650MWPlant!D23</f>
        <v>158.70000000000005</v>
      </c>
      <c r="C7" t="s">
        <v>41</v>
      </c>
      <c r="D7" t="s">
        <v>236</v>
      </c>
      <c r="T7" t="s">
        <v>229</v>
      </c>
      <c r="U7">
        <v>0</v>
      </c>
      <c r="V7">
        <v>1</v>
      </c>
      <c r="W7">
        <v>2</v>
      </c>
      <c r="X7">
        <v>3</v>
      </c>
      <c r="AE7" s="106">
        <f>AE6-AE5</f>
        <v>0.14859540492097123</v>
      </c>
      <c r="AF7" t="s">
        <v>292</v>
      </c>
      <c r="AV7" s="99" t="s">
        <v>295</v>
      </c>
      <c r="AW7">
        <f>AE3</f>
        <v>455</v>
      </c>
      <c r="AX7">
        <f>AE3</f>
        <v>455</v>
      </c>
      <c r="AY7">
        <f>AE3</f>
        <v>455</v>
      </c>
      <c r="AZ7">
        <f>AE3</f>
        <v>455</v>
      </c>
    </row>
    <row r="8" spans="1:53" x14ac:dyDescent="0.25">
      <c r="A8">
        <v>7431</v>
      </c>
      <c r="B8">
        <f>ParameterEstimation650MWPlant!F23</f>
        <v>7431</v>
      </c>
      <c r="C8" t="s">
        <v>42</v>
      </c>
      <c r="D8" t="s">
        <v>227</v>
      </c>
      <c r="T8" s="105" t="s">
        <v>230</v>
      </c>
      <c r="AE8">
        <f>AE3*A9/A6</f>
        <v>46.53</v>
      </c>
      <c r="AF8" t="s">
        <v>301</v>
      </c>
      <c r="AV8" s="99"/>
      <c r="AZ8">
        <f>SUM(AW7:AZ7)</f>
        <v>1820</v>
      </c>
      <c r="BA8" s="59" t="s">
        <v>305</v>
      </c>
    </row>
    <row r="9" spans="1:53" x14ac:dyDescent="0.25">
      <c r="A9">
        <v>46.53</v>
      </c>
      <c r="B9">
        <f>ParameterEstimation650MWPlant!E23</f>
        <v>46.53</v>
      </c>
      <c r="C9" t="s">
        <v>41</v>
      </c>
      <c r="D9" t="s">
        <v>166</v>
      </c>
      <c r="P9" s="59"/>
      <c r="T9" s="99" t="s">
        <v>238</v>
      </c>
      <c r="U9" s="97">
        <f>A6</f>
        <v>455</v>
      </c>
      <c r="V9" s="97">
        <f>A6</f>
        <v>455</v>
      </c>
      <c r="W9" s="97">
        <f>A6</f>
        <v>455</v>
      </c>
      <c r="X9" s="97">
        <f>A6</f>
        <v>455</v>
      </c>
      <c r="AE9">
        <f>A6/A9</f>
        <v>9.7786374382119057</v>
      </c>
      <c r="AF9" t="s">
        <v>323</v>
      </c>
      <c r="AV9" s="105" t="s">
        <v>354</v>
      </c>
    </row>
    <row r="10" spans="1:53" x14ac:dyDescent="0.25">
      <c r="A10">
        <f>A7-A9</f>
        <v>112.16999999999999</v>
      </c>
      <c r="B10" t="s">
        <v>45</v>
      </c>
      <c r="C10" t="s">
        <v>41</v>
      </c>
      <c r="D10" t="s">
        <v>231</v>
      </c>
      <c r="T10" s="99" t="s">
        <v>239</v>
      </c>
      <c r="U10" s="97">
        <f>A8</f>
        <v>7431</v>
      </c>
      <c r="V10" s="97">
        <f>A8</f>
        <v>7431</v>
      </c>
      <c r="W10" s="97">
        <f>A8</f>
        <v>7431</v>
      </c>
      <c r="X10" s="97">
        <f>A8</f>
        <v>7431</v>
      </c>
      <c r="AE10" s="106">
        <v>0.2</v>
      </c>
      <c r="AF10" t="s">
        <v>304</v>
      </c>
      <c r="AV10" s="99" t="s">
        <v>295</v>
      </c>
      <c r="AW10">
        <f>AE3</f>
        <v>455</v>
      </c>
      <c r="AX10">
        <f>AX12*$AE$9</f>
        <v>90.999999999999972</v>
      </c>
      <c r="AY10">
        <f>AE3</f>
        <v>455</v>
      </c>
      <c r="AZ10">
        <f>AZ17-AZ14</f>
        <v>95.054079786399654</v>
      </c>
    </row>
    <row r="11" spans="1:53" x14ac:dyDescent="0.25">
      <c r="A11">
        <v>2.1356E-2</v>
      </c>
      <c r="B11">
        <f>1/ParameterEstimation650MWPlant!A72</f>
        <v>2.1356479612434403E-2</v>
      </c>
      <c r="C11" t="s">
        <v>249</v>
      </c>
      <c r="D11" t="s">
        <v>248</v>
      </c>
      <c r="T11" s="99" t="s">
        <v>235</v>
      </c>
      <c r="U11" s="97">
        <f>A9</f>
        <v>46.53</v>
      </c>
      <c r="V11" s="97">
        <f>A9</f>
        <v>46.53</v>
      </c>
      <c r="W11" s="97">
        <f>A9</f>
        <v>46.53</v>
      </c>
      <c r="X11" s="97">
        <f>A9</f>
        <v>46.53</v>
      </c>
      <c r="AE11">
        <f>AE10*AE3</f>
        <v>91</v>
      </c>
      <c r="AF11" t="s">
        <v>306</v>
      </c>
      <c r="AV11" s="99" t="s">
        <v>294</v>
      </c>
      <c r="AW11">
        <v>0</v>
      </c>
      <c r="AX11">
        <f>AE30</f>
        <v>37.224000000000004</v>
      </c>
      <c r="AY11">
        <v>0</v>
      </c>
      <c r="AZ11">
        <v>0</v>
      </c>
    </row>
    <row r="12" spans="1:53" x14ac:dyDescent="0.25">
      <c r="A12">
        <v>6.123E-2</v>
      </c>
      <c r="B12">
        <f>ParameterEstimation650MWPlant!A74</f>
        <v>6.1229982505719281E-2</v>
      </c>
      <c r="C12" t="s">
        <v>249</v>
      </c>
      <c r="D12" t="s">
        <v>253</v>
      </c>
      <c r="T12" s="99" t="s">
        <v>234</v>
      </c>
      <c r="U12" s="97">
        <f>A10</f>
        <v>112.16999999999999</v>
      </c>
      <c r="V12" s="97">
        <f>A10</f>
        <v>112.16999999999999</v>
      </c>
      <c r="W12" s="97">
        <f>A10</f>
        <v>112.16999999999999</v>
      </c>
      <c r="X12" s="97">
        <f>A10</f>
        <v>112.16999999999999</v>
      </c>
      <c r="AE12">
        <f>(ParameterEstimation650MWPlant!F23/ParameterEstimation650MWPlant!E23)</f>
        <v>159.70341715022565</v>
      </c>
      <c r="AF12" t="s">
        <v>344</v>
      </c>
      <c r="AV12" s="99" t="s">
        <v>300</v>
      </c>
      <c r="AW12">
        <f>$AE$8-AW11*$AE$47</f>
        <v>46.53</v>
      </c>
      <c r="AX12">
        <f>$AE$8-AX11</f>
        <v>9.3059999999999974</v>
      </c>
      <c r="AY12">
        <f>$AE$8-AY11*$AE$47</f>
        <v>46.53</v>
      </c>
      <c r="AZ12">
        <f>AZ10/AE9</f>
        <v>9.7205853460685194</v>
      </c>
    </row>
    <row r="13" spans="1:53" x14ac:dyDescent="0.25">
      <c r="A13">
        <f>A10/(A9+A10)</f>
        <v>0.70680529300567108</v>
      </c>
      <c r="B13" t="s">
        <v>45</v>
      </c>
      <c r="C13" t="s">
        <v>139</v>
      </c>
      <c r="D13" t="s">
        <v>259</v>
      </c>
      <c r="T13" s="99" t="s">
        <v>233</v>
      </c>
      <c r="U13" s="97">
        <f>U12+U11</f>
        <v>158.69999999999999</v>
      </c>
      <c r="V13" s="97">
        <f>V12+V11</f>
        <v>158.69999999999999</v>
      </c>
      <c r="W13" s="97">
        <f>W12+W11</f>
        <v>158.69999999999999</v>
      </c>
      <c r="X13" s="97">
        <f>X12+X11</f>
        <v>158.69999999999999</v>
      </c>
      <c r="AV13" s="99" t="s">
        <v>356</v>
      </c>
      <c r="AW13">
        <f>SUM(AW11:AW12)*$AE$12</f>
        <v>7430.9999999999991</v>
      </c>
      <c r="AX13">
        <f>SUM(AX11:AX12)*$AE$12</f>
        <v>7430.9999999999991</v>
      </c>
      <c r="AY13">
        <f>SUM(AY11:AY12)*$AE$12</f>
        <v>7430.9999999999991</v>
      </c>
      <c r="AZ13">
        <f>SUM(AZ11:AZ12)*$AE$12</f>
        <v>1552.4106964675514</v>
      </c>
    </row>
    <row r="14" spans="1:53" x14ac:dyDescent="0.25">
      <c r="A14">
        <f>A9/(A10+A9)</f>
        <v>0.29319470699432892</v>
      </c>
      <c r="B14" t="s">
        <v>45</v>
      </c>
      <c r="C14" t="s">
        <v>139</v>
      </c>
      <c r="D14" t="s">
        <v>260</v>
      </c>
      <c r="T14" s="99"/>
      <c r="U14" s="97"/>
      <c r="W14" s="97"/>
      <c r="X14">
        <f>SUM(U9:X9)</f>
        <v>1820</v>
      </c>
      <c r="Y14" s="59" t="s">
        <v>267</v>
      </c>
      <c r="AV14" s="99" t="s">
        <v>296</v>
      </c>
      <c r="AW14">
        <v>0</v>
      </c>
      <c r="AX14">
        <v>0</v>
      </c>
      <c r="AY14">
        <v>0</v>
      </c>
      <c r="AZ14">
        <f>AX11*AE21</f>
        <v>481.63611278323555</v>
      </c>
      <c r="BA14" s="108"/>
    </row>
    <row r="15" spans="1:53" x14ac:dyDescent="0.25">
      <c r="A15">
        <v>9.7786299999999997</v>
      </c>
      <c r="B15">
        <f>ParameterEstimation650MWPlant!D23/ParameterEstimation650MWPlant!E23</f>
        <v>9.7786374382119057</v>
      </c>
      <c r="C15" t="s">
        <v>139</v>
      </c>
      <c r="D15" t="s">
        <v>349</v>
      </c>
      <c r="T15" s="105" t="s">
        <v>232</v>
      </c>
      <c r="U15" s="97"/>
      <c r="V15" s="97"/>
      <c r="W15" s="97"/>
      <c r="X15" s="97"/>
      <c r="Z15" s="7" t="s">
        <v>279</v>
      </c>
      <c r="AE15" s="59" t="s">
        <v>288</v>
      </c>
      <c r="AK15" s="99"/>
      <c r="AV15" s="99" t="s">
        <v>357</v>
      </c>
      <c r="AW15">
        <f>AW14/$A$27</f>
        <v>0</v>
      </c>
      <c r="AX15">
        <f>AX14/$A$27</f>
        <v>0</v>
      </c>
      <c r="AY15">
        <f>AY14/$A$27</f>
        <v>0</v>
      </c>
      <c r="AZ15">
        <f>AZ14/$A$27</f>
        <v>5951.1943851334536</v>
      </c>
    </row>
    <row r="16" spans="1:53" x14ac:dyDescent="0.25">
      <c r="T16" s="99" t="s">
        <v>264</v>
      </c>
      <c r="U16" s="97">
        <f>A6</f>
        <v>455</v>
      </c>
      <c r="V16" s="97">
        <f>V19*A12</f>
        <v>271.31013000000002</v>
      </c>
      <c r="W16" s="97">
        <f>A6</f>
        <v>455</v>
      </c>
      <c r="X16" s="97">
        <f>X19*A12</f>
        <v>271.31013000000002</v>
      </c>
      <c r="Y16" t="s">
        <v>281</v>
      </c>
      <c r="Z16">
        <f>Z19*A12</f>
        <v>0</v>
      </c>
      <c r="AE16" s="7" t="s">
        <v>298</v>
      </c>
      <c r="AK16" s="99"/>
      <c r="AV16" s="99" t="s">
        <v>359</v>
      </c>
      <c r="AW16">
        <v>0</v>
      </c>
      <c r="AX16">
        <v>0</v>
      </c>
      <c r="AY16">
        <v>0</v>
      </c>
      <c r="AZ16" s="108">
        <f>AZ15/AY13</f>
        <v>0.80086050129638731</v>
      </c>
    </row>
    <row r="17" spans="1:53" x14ac:dyDescent="0.25">
      <c r="A17" s="59" t="s">
        <v>226</v>
      </c>
      <c r="T17" s="99" t="s">
        <v>265</v>
      </c>
      <c r="U17">
        <v>0</v>
      </c>
      <c r="V17">
        <v>0</v>
      </c>
      <c r="W17">
        <v>0</v>
      </c>
      <c r="X17">
        <f>$A$27*X21</f>
        <v>242.79300000000001</v>
      </c>
      <c r="Y17" t="s">
        <v>282</v>
      </c>
      <c r="Z17">
        <f>$A$27*Z21</f>
        <v>601.39826100000005</v>
      </c>
      <c r="AE17" s="106">
        <v>0.9</v>
      </c>
      <c r="AF17" t="s">
        <v>58</v>
      </c>
      <c r="AK17" s="99"/>
      <c r="AV17" s="99" t="s">
        <v>360</v>
      </c>
      <c r="AW17">
        <f>AW16*$AE$23</f>
        <v>0</v>
      </c>
      <c r="AX17">
        <f>AX16*$AE$23</f>
        <v>0</v>
      </c>
      <c r="AY17">
        <f>AY16*$AE$23</f>
        <v>0</v>
      </c>
      <c r="AZ17">
        <f>AZ16*($AE$23-$AE$3)+$AE$3</f>
        <v>576.6901925696352</v>
      </c>
    </row>
    <row r="18" spans="1:53" x14ac:dyDescent="0.25">
      <c r="A18" t="s">
        <v>183</v>
      </c>
      <c r="B18" t="s">
        <v>237</v>
      </c>
      <c r="T18" s="99" t="s">
        <v>266</v>
      </c>
      <c r="U18">
        <f>U17+U16</f>
        <v>455</v>
      </c>
      <c r="V18">
        <f>V17+V16</f>
        <v>271.31013000000002</v>
      </c>
      <c r="W18">
        <f>W17+W16</f>
        <v>455</v>
      </c>
      <c r="X18">
        <f>X17+X16</f>
        <v>514.10312999999996</v>
      </c>
      <c r="Y18" s="97" t="s">
        <v>278</v>
      </c>
      <c r="Z18">
        <f>Z17+Z16</f>
        <v>601.39826100000005</v>
      </c>
      <c r="AE18" s="107">
        <f>(AE17*AE5+AE7)/AE6</f>
        <v>0.95746250787649656</v>
      </c>
      <c r="AF18" t="s">
        <v>59</v>
      </c>
      <c r="AK18" s="99"/>
      <c r="AV18" s="99" t="s">
        <v>358</v>
      </c>
      <c r="AW18">
        <f>AW15+AW13</f>
        <v>7430.9999999999991</v>
      </c>
      <c r="AX18">
        <f>AX15+AX13</f>
        <v>7430.9999999999991</v>
      </c>
      <c r="AY18">
        <f>AY15+AY13</f>
        <v>7430.9999999999991</v>
      </c>
      <c r="AZ18">
        <f>AZ15+AZ13</f>
        <v>7503.6050816010047</v>
      </c>
    </row>
    <row r="19" spans="1:53" x14ac:dyDescent="0.25">
      <c r="A19">
        <v>601.4</v>
      </c>
      <c r="B19">
        <f>ParameterEstimation650MWPlant!D24</f>
        <v>601.4</v>
      </c>
      <c r="C19" t="s">
        <v>41</v>
      </c>
      <c r="D19" t="s">
        <v>224</v>
      </c>
      <c r="T19" s="99" t="s">
        <v>239</v>
      </c>
      <c r="U19" s="97">
        <f>A8</f>
        <v>7431</v>
      </c>
      <c r="V19" s="97">
        <f>U19-V20</f>
        <v>4431</v>
      </c>
      <c r="W19" s="97">
        <f>W10</f>
        <v>7431</v>
      </c>
      <c r="X19" s="97">
        <f>W22-X21</f>
        <v>4431</v>
      </c>
      <c r="Y19" s="97" t="s">
        <v>284</v>
      </c>
      <c r="Z19">
        <f>W22-Z21</f>
        <v>0</v>
      </c>
      <c r="AE19">
        <f>A28</f>
        <v>3.7895400000000001</v>
      </c>
      <c r="AF19" t="s">
        <v>307</v>
      </c>
      <c r="AK19" s="99"/>
      <c r="AV19" s="99" t="s">
        <v>302</v>
      </c>
      <c r="AW19">
        <v>0</v>
      </c>
      <c r="AX19">
        <v>0</v>
      </c>
      <c r="AY19">
        <v>0</v>
      </c>
      <c r="AZ19">
        <f>AX11</f>
        <v>37.224000000000004</v>
      </c>
    </row>
    <row r="20" spans="1:53" x14ac:dyDescent="0.25">
      <c r="A20">
        <v>7431</v>
      </c>
      <c r="B20">
        <f>ParameterEstimation650MWPlant!F24</f>
        <v>7431</v>
      </c>
      <c r="C20" t="s">
        <v>42</v>
      </c>
      <c r="D20" t="s">
        <v>227</v>
      </c>
      <c r="T20" s="99" t="s">
        <v>262</v>
      </c>
      <c r="U20" s="97">
        <v>0</v>
      </c>
      <c r="V20" s="97">
        <f>A23</f>
        <v>3000</v>
      </c>
      <c r="W20" s="97">
        <v>0</v>
      </c>
      <c r="X20" s="97">
        <v>0</v>
      </c>
      <c r="Z20">
        <v>0</v>
      </c>
      <c r="AF20" t="s">
        <v>321</v>
      </c>
      <c r="AK20" s="99"/>
      <c r="AV20" s="99" t="s">
        <v>303</v>
      </c>
      <c r="AW20">
        <v>0</v>
      </c>
      <c r="AX20">
        <v>0</v>
      </c>
      <c r="AY20">
        <v>0</v>
      </c>
      <c r="AZ20">
        <f>AZ14-AZ19</f>
        <v>444.41211278323556</v>
      </c>
    </row>
    <row r="21" spans="1:53" x14ac:dyDescent="0.25">
      <c r="A21">
        <v>4.55</v>
      </c>
      <c r="B21">
        <f>ParameterEstimation650MWPlant!E24</f>
        <v>4.55</v>
      </c>
      <c r="C21" t="s">
        <v>41</v>
      </c>
      <c r="D21" t="s">
        <v>166</v>
      </c>
      <c r="T21" s="99" t="s">
        <v>263</v>
      </c>
      <c r="U21" s="97">
        <v>0</v>
      </c>
      <c r="V21" s="97">
        <v>0</v>
      </c>
      <c r="W21" s="97">
        <v>0</v>
      </c>
      <c r="X21" s="97">
        <f>W24</f>
        <v>3000</v>
      </c>
      <c r="Y21" t="s">
        <v>283</v>
      </c>
      <c r="Z21">
        <v>7431</v>
      </c>
      <c r="AE21" s="109">
        <f>AE19*(1+ParameterEstimation650MWPlant!AD14)</f>
        <v>12.938859681475272</v>
      </c>
      <c r="AF21" s="109" t="s">
        <v>324</v>
      </c>
      <c r="AK21" s="99"/>
      <c r="AV21" s="99" t="s">
        <v>322</v>
      </c>
      <c r="AW21">
        <f>AW14+AW10</f>
        <v>455</v>
      </c>
      <c r="AX21">
        <f>AX14+AX10</f>
        <v>90.999999999999972</v>
      </c>
      <c r="AY21">
        <f>AY14+AY10</f>
        <v>455</v>
      </c>
      <c r="AZ21">
        <f>AZ14+AZ10</f>
        <v>576.6901925696352</v>
      </c>
    </row>
    <row r="22" spans="1:53" x14ac:dyDescent="0.25">
      <c r="A22">
        <v>0</v>
      </c>
      <c r="B22" t="s">
        <v>45</v>
      </c>
      <c r="C22" t="s">
        <v>41</v>
      </c>
      <c r="D22" t="s">
        <v>231</v>
      </c>
      <c r="T22" s="99" t="s">
        <v>275</v>
      </c>
      <c r="U22">
        <f>U19+U21</f>
        <v>7431</v>
      </c>
      <c r="V22">
        <f>V19+V21</f>
        <v>4431</v>
      </c>
      <c r="W22">
        <f>W19+W21</f>
        <v>7431</v>
      </c>
      <c r="X22">
        <f>X19+X21</f>
        <v>7431</v>
      </c>
      <c r="Y22" t="s">
        <v>280</v>
      </c>
      <c r="Z22">
        <f>Z19+Z21</f>
        <v>7431</v>
      </c>
      <c r="AF22" s="109" t="s">
        <v>325</v>
      </c>
      <c r="AK22" s="99"/>
      <c r="AZ22">
        <f>SUM(AW21:AZ21)</f>
        <v>1577.6901925696352</v>
      </c>
      <c r="BA22" s="59" t="s">
        <v>305</v>
      </c>
    </row>
    <row r="23" spans="1:53" x14ac:dyDescent="0.25">
      <c r="A23">
        <v>3000</v>
      </c>
      <c r="B23" t="s">
        <v>45</v>
      </c>
      <c r="C23" t="s">
        <v>42</v>
      </c>
      <c r="D23" t="s">
        <v>252</v>
      </c>
      <c r="T23" s="99" t="s">
        <v>240</v>
      </c>
      <c r="U23" s="97">
        <f>A24</f>
        <v>3000</v>
      </c>
      <c r="V23" s="97">
        <f>U23-V20</f>
        <v>0</v>
      </c>
      <c r="W23" s="97">
        <f>V23</f>
        <v>0</v>
      </c>
      <c r="X23" s="97">
        <f>X21</f>
        <v>3000</v>
      </c>
      <c r="Z23">
        <f>Z21</f>
        <v>7431</v>
      </c>
      <c r="AE23">
        <f>AE3+(AE4-AE3)*AE18</f>
        <v>606.94929999999999</v>
      </c>
      <c r="AF23" t="s">
        <v>308</v>
      </c>
      <c r="AV23" s="105" t="s">
        <v>355</v>
      </c>
    </row>
    <row r="24" spans="1:53" x14ac:dyDescent="0.25">
      <c r="A24">
        <f>A23</f>
        <v>3000</v>
      </c>
      <c r="B24" t="s">
        <v>45</v>
      </c>
      <c r="C24" t="s">
        <v>42</v>
      </c>
      <c r="D24" t="s">
        <v>251</v>
      </c>
      <c r="T24" s="99" t="s">
        <v>241</v>
      </c>
      <c r="U24" s="97">
        <f>A25</f>
        <v>0</v>
      </c>
      <c r="V24" s="97">
        <f>U24+V20</f>
        <v>3000</v>
      </c>
      <c r="W24" s="97">
        <f>V24</f>
        <v>3000</v>
      </c>
      <c r="X24" s="97">
        <v>0</v>
      </c>
      <c r="Z24">
        <v>0</v>
      </c>
      <c r="AV24" s="99" t="s">
        <v>295</v>
      </c>
      <c r="AW24">
        <f>AE3</f>
        <v>455</v>
      </c>
      <c r="AX24">
        <f>AX26*$AE$9</f>
        <v>90.999999999999972</v>
      </c>
      <c r="AY24">
        <f>AE3</f>
        <v>455</v>
      </c>
      <c r="AZ24">
        <f>AE3</f>
        <v>455</v>
      </c>
      <c r="BA24" t="s">
        <v>392</v>
      </c>
    </row>
    <row r="25" spans="1:53" x14ac:dyDescent="0.25">
      <c r="A25">
        <v>0</v>
      </c>
      <c r="B25" t="s">
        <v>45</v>
      </c>
      <c r="C25" t="s">
        <v>42</v>
      </c>
      <c r="D25" t="s">
        <v>250</v>
      </c>
      <c r="T25" s="99" t="s">
        <v>261</v>
      </c>
      <c r="U25" s="97">
        <f>U19*$A$26</f>
        <v>158.69643600000001</v>
      </c>
      <c r="V25" s="97">
        <f>V19*$A$26</f>
        <v>94.628435999999994</v>
      </c>
      <c r="W25" s="97">
        <f>W19*$A$26</f>
        <v>158.69643600000001</v>
      </c>
      <c r="X25" s="97">
        <f>X19*$A$26</f>
        <v>94.628435999999994</v>
      </c>
      <c r="Z25" s="97">
        <f>Z19*$A$26</f>
        <v>0</v>
      </c>
      <c r="AE25" s="97" t="s">
        <v>332</v>
      </c>
      <c r="AV25" s="99" t="s">
        <v>294</v>
      </c>
      <c r="AW25">
        <v>0</v>
      </c>
      <c r="AX25">
        <f>AE46</f>
        <v>9.3190003567019541</v>
      </c>
      <c r="AY25">
        <v>0</v>
      </c>
      <c r="AZ25">
        <v>0</v>
      </c>
      <c r="BA25" t="s">
        <v>391</v>
      </c>
    </row>
    <row r="26" spans="1:53" x14ac:dyDescent="0.25">
      <c r="A26">
        <f>A11</f>
        <v>2.1356E-2</v>
      </c>
      <c r="B26" t="s">
        <v>45</v>
      </c>
      <c r="C26" t="s">
        <v>249</v>
      </c>
      <c r="D26" t="s">
        <v>254</v>
      </c>
      <c r="T26" s="99" t="s">
        <v>244</v>
      </c>
      <c r="U26" s="97">
        <f>U25*$A$14</f>
        <v>46.528955054064276</v>
      </c>
      <c r="V26" s="97">
        <f>V25*$A$14</f>
        <v>27.744556566351605</v>
      </c>
      <c r="W26" s="97">
        <f>W25*$A$14</f>
        <v>46.528955054064276</v>
      </c>
      <c r="X26" s="97">
        <f>X25*$A$14</f>
        <v>27.744556566351605</v>
      </c>
      <c r="Z26" s="97">
        <f>Z25*$A$14</f>
        <v>0</v>
      </c>
      <c r="AE26" t="s">
        <v>333</v>
      </c>
      <c r="AV26" s="99" t="s">
        <v>300</v>
      </c>
      <c r="AW26">
        <f>$AE$8-AW25*$AE$47</f>
        <v>46.53</v>
      </c>
      <c r="AX26">
        <f>$AE$8-AX25*$AE$47</f>
        <v>9.3059999999999974</v>
      </c>
      <c r="AY26">
        <v>0</v>
      </c>
      <c r="AZ26">
        <v>0</v>
      </c>
      <c r="BA26" t="s">
        <v>390</v>
      </c>
    </row>
    <row r="27" spans="1:53" x14ac:dyDescent="0.25">
      <c r="A27">
        <v>8.0931000000000003E-2</v>
      </c>
      <c r="B27">
        <f>ParameterEstimation650MWPlant!A82</f>
        <v>8.0931234019647413E-2</v>
      </c>
      <c r="C27" t="s">
        <v>249</v>
      </c>
      <c r="D27" t="s">
        <v>269</v>
      </c>
      <c r="T27" s="99" t="s">
        <v>247</v>
      </c>
      <c r="U27" s="97">
        <f>U25*$A$13</f>
        <v>112.16748094593574</v>
      </c>
      <c r="V27" s="97">
        <f>V25*$A$13</f>
        <v>66.883879433648389</v>
      </c>
      <c r="W27" s="97">
        <f>W25*$A$13</f>
        <v>112.16748094593574</v>
      </c>
      <c r="X27" s="97">
        <f>X25*$A$13</f>
        <v>66.883879433648389</v>
      </c>
      <c r="Z27" s="97">
        <f>Z25*$A$13</f>
        <v>0</v>
      </c>
      <c r="AE27" t="s">
        <v>334</v>
      </c>
      <c r="AV27" s="99" t="s">
        <v>296</v>
      </c>
      <c r="AW27">
        <v>0</v>
      </c>
      <c r="AX27">
        <v>0</v>
      </c>
      <c r="AY27">
        <v>0</v>
      </c>
      <c r="AZ27">
        <f>AX25*AE21</f>
        <v>120.57723798698458</v>
      </c>
      <c r="BA27" t="s">
        <v>394</v>
      </c>
    </row>
    <row r="28" spans="1:53" x14ac:dyDescent="0.25">
      <c r="A28">
        <v>3.7895400000000001</v>
      </c>
      <c r="B28">
        <f>ParameterEstimation650MWPlant!A84</f>
        <v>3.789540012602393</v>
      </c>
      <c r="C28" t="s">
        <v>139</v>
      </c>
      <c r="D28" t="s">
        <v>255</v>
      </c>
      <c r="T28" s="99" t="s">
        <v>258</v>
      </c>
      <c r="U28" s="97">
        <f>U20*$A$26</f>
        <v>0</v>
      </c>
      <c r="V28" s="97">
        <f>V20*$A$26</f>
        <v>64.067999999999998</v>
      </c>
      <c r="W28" s="97">
        <f>W20*$A$26</f>
        <v>0</v>
      </c>
      <c r="X28" s="97">
        <f>X20*$A$26</f>
        <v>0</v>
      </c>
      <c r="Z28" s="97">
        <f>Z20*$A$26</f>
        <v>0</v>
      </c>
      <c r="AE28" t="s">
        <v>335</v>
      </c>
      <c r="AV28" s="99" t="s">
        <v>302</v>
      </c>
      <c r="AW28">
        <v>0</v>
      </c>
      <c r="AX28">
        <v>0</v>
      </c>
      <c r="AY28">
        <v>0</v>
      </c>
      <c r="AZ28">
        <f>AX25</f>
        <v>9.3190003567019541</v>
      </c>
    </row>
    <row r="29" spans="1:53" x14ac:dyDescent="0.25">
      <c r="A29">
        <f>A24*A26</f>
        <v>64.067999999999998</v>
      </c>
      <c r="B29" t="s">
        <v>45</v>
      </c>
      <c r="C29" t="s">
        <v>199</v>
      </c>
      <c r="D29" t="s">
        <v>256</v>
      </c>
      <c r="T29" s="99" t="s">
        <v>245</v>
      </c>
      <c r="U29" s="97">
        <f>U28*$A$14</f>
        <v>0</v>
      </c>
      <c r="V29" s="97">
        <f>V28*$A$14</f>
        <v>18.784398487712664</v>
      </c>
      <c r="W29" s="97">
        <f>W28*$A$14</f>
        <v>0</v>
      </c>
      <c r="X29" s="97">
        <f>X28*$A$14</f>
        <v>0</v>
      </c>
      <c r="Z29" s="97">
        <f>Z28*$A$14</f>
        <v>0</v>
      </c>
      <c r="AE29" s="7" t="s">
        <v>336</v>
      </c>
      <c r="AV29" s="99" t="s">
        <v>303</v>
      </c>
      <c r="AW29">
        <v>0</v>
      </c>
      <c r="AX29">
        <v>0</v>
      </c>
      <c r="AY29">
        <v>0</v>
      </c>
      <c r="AZ29">
        <f>AZ27-AZ28</f>
        <v>111.25823763028264</v>
      </c>
    </row>
    <row r="30" spans="1:53" x14ac:dyDescent="0.25">
      <c r="T30" s="99" t="s">
        <v>246</v>
      </c>
      <c r="U30" s="97">
        <f>U28*$A$13</f>
        <v>0</v>
      </c>
      <c r="V30" s="97">
        <f>V28*$A$13</f>
        <v>45.283601512287333</v>
      </c>
      <c r="W30" s="97">
        <f>W28*$A$13</f>
        <v>0</v>
      </c>
      <c r="X30" s="97">
        <f>X28*$A$13</f>
        <v>0</v>
      </c>
      <c r="Z30" s="97">
        <f>Z28*$A$13</f>
        <v>0</v>
      </c>
      <c r="AE30" s="59">
        <f>AE8*(1-AE10)</f>
        <v>37.224000000000004</v>
      </c>
      <c r="AF30" t="s">
        <v>287</v>
      </c>
      <c r="AH30" t="s">
        <v>346</v>
      </c>
      <c r="AV30" s="99" t="s">
        <v>322</v>
      </c>
      <c r="AW30">
        <f>AW24+AW27</f>
        <v>455</v>
      </c>
      <c r="AX30">
        <f>AX24+AX27</f>
        <v>90.999999999999972</v>
      </c>
      <c r="AY30">
        <f>AY24+AY27</f>
        <v>455</v>
      </c>
      <c r="AZ30">
        <f>AZ24+AZ27</f>
        <v>575.57723798698453</v>
      </c>
      <c r="BA30" t="s">
        <v>393</v>
      </c>
    </row>
    <row r="31" spans="1:53" x14ac:dyDescent="0.25">
      <c r="T31" s="99" t="s">
        <v>242</v>
      </c>
      <c r="U31" s="97">
        <f t="shared" ref="U31:X32" si="0">U29+U26</f>
        <v>46.528955054064276</v>
      </c>
      <c r="V31" s="97">
        <f t="shared" si="0"/>
        <v>46.528955054064269</v>
      </c>
      <c r="W31" s="97">
        <f t="shared" si="0"/>
        <v>46.528955054064276</v>
      </c>
      <c r="X31" s="97">
        <f t="shared" si="0"/>
        <v>27.744556566351605</v>
      </c>
      <c r="Z31" s="97">
        <f>Z29+Z26</f>
        <v>0</v>
      </c>
      <c r="AD31">
        <f>(AE23-AE3)/AE30</f>
        <v>4.0820250376101432</v>
      </c>
      <c r="AF31" t="s">
        <v>309</v>
      </c>
      <c r="AZ31">
        <f>SUM(AW30:AZ30)</f>
        <v>1576.5772379869845</v>
      </c>
      <c r="BA31" s="59" t="s">
        <v>305</v>
      </c>
    </row>
    <row r="32" spans="1:53" x14ac:dyDescent="0.25">
      <c r="T32" s="99" t="s">
        <v>243</v>
      </c>
      <c r="U32" s="97">
        <f t="shared" si="0"/>
        <v>112.16748094593574</v>
      </c>
      <c r="V32" s="97">
        <f t="shared" si="0"/>
        <v>112.16748094593572</v>
      </c>
      <c r="W32" s="97">
        <f t="shared" si="0"/>
        <v>112.16748094593574</v>
      </c>
      <c r="X32" s="97">
        <f t="shared" si="0"/>
        <v>66.883879433648389</v>
      </c>
      <c r="Z32" s="97">
        <f>Z30+Z27</f>
        <v>0</v>
      </c>
      <c r="AF32" t="s">
        <v>310</v>
      </c>
    </row>
    <row r="33" spans="20:57" x14ac:dyDescent="0.25">
      <c r="T33" s="99" t="s">
        <v>233</v>
      </c>
      <c r="U33" s="97">
        <f>U32+U31</f>
        <v>158.69643600000001</v>
      </c>
      <c r="V33" s="97">
        <f>V32+V31</f>
        <v>158.69643600000001</v>
      </c>
      <c r="W33" s="97">
        <f>W32+W31</f>
        <v>158.69643600000001</v>
      </c>
      <c r="X33" s="97">
        <f>X32+X31</f>
        <v>94.628435999999994</v>
      </c>
      <c r="Z33" s="97">
        <f>Z32+Z31</f>
        <v>0</v>
      </c>
      <c r="AE33">
        <f>AE23/A27</f>
        <v>7499.5897740050159</v>
      </c>
      <c r="AF33" t="s">
        <v>340</v>
      </c>
    </row>
    <row r="34" spans="20:57" x14ac:dyDescent="0.25">
      <c r="T34" s="99" t="s">
        <v>366</v>
      </c>
      <c r="U34">
        <f>U16+U17+U33</f>
        <v>613.69643599999995</v>
      </c>
      <c r="V34">
        <f>V16+V17+V33</f>
        <v>430.00656600000002</v>
      </c>
      <c r="W34">
        <f>W16+W17+W33</f>
        <v>613.69643599999995</v>
      </c>
      <c r="X34">
        <f>X16+X17+X33</f>
        <v>608.73156599999993</v>
      </c>
      <c r="AE34">
        <f>AE30*AE12</f>
        <v>5944.8</v>
      </c>
      <c r="AF34" t="s">
        <v>341</v>
      </c>
    </row>
    <row r="35" spans="20:57" x14ac:dyDescent="0.25">
      <c r="U35">
        <f>U25/U34</f>
        <v>0.25859109926458823</v>
      </c>
      <c r="V35">
        <f>V25/V34</f>
        <v>0.22006276992523874</v>
      </c>
      <c r="W35">
        <f>W25/W34</f>
        <v>0.25859109926458823</v>
      </c>
      <c r="X35">
        <f>SUM(U18:X18)</f>
        <v>1695.41326</v>
      </c>
      <c r="Y35" s="59" t="s">
        <v>276</v>
      </c>
      <c r="AG35" t="s">
        <v>342</v>
      </c>
    </row>
    <row r="36" spans="20:57" x14ac:dyDescent="0.25">
      <c r="X36">
        <f>X35-X14</f>
        <v>-124.58673999999996</v>
      </c>
      <c r="Y36" s="59" t="s">
        <v>339</v>
      </c>
      <c r="AG36" t="s">
        <v>343</v>
      </c>
    </row>
    <row r="37" spans="20:57" x14ac:dyDescent="0.25">
      <c r="Y37" s="59" t="s">
        <v>338</v>
      </c>
      <c r="AE37" s="108">
        <f>AE34/AE33</f>
        <v>0.79268335724252437</v>
      </c>
      <c r="AF37" t="s">
        <v>345</v>
      </c>
    </row>
    <row r="38" spans="20:57" x14ac:dyDescent="0.25">
      <c r="T38" s="99" t="s">
        <v>363</v>
      </c>
      <c r="U38">
        <f>U18-U9</f>
        <v>0</v>
      </c>
      <c r="V38">
        <f>V18-V9</f>
        <v>-183.68986999999998</v>
      </c>
      <c r="W38">
        <f>W18-W9</f>
        <v>0</v>
      </c>
      <c r="X38">
        <f>X18-X9</f>
        <v>59.103129999999965</v>
      </c>
      <c r="AT38" s="111"/>
      <c r="AU38" s="111"/>
      <c r="AV38" s="111"/>
      <c r="AW38" s="111"/>
      <c r="AX38" s="111"/>
      <c r="AY38" s="111"/>
      <c r="AZ38" s="111"/>
      <c r="BA38" s="111"/>
      <c r="BB38" s="111"/>
      <c r="BC38" s="111"/>
      <c r="BD38" s="111"/>
      <c r="BE38" s="111"/>
    </row>
    <row r="39" spans="20:57" x14ac:dyDescent="0.25">
      <c r="T39" s="99" t="s">
        <v>364</v>
      </c>
      <c r="U39">
        <v>0</v>
      </c>
      <c r="V39">
        <v>10</v>
      </c>
      <c r="W39">
        <v>0</v>
      </c>
      <c r="X39">
        <v>40</v>
      </c>
      <c r="AE39" s="7" t="s">
        <v>337</v>
      </c>
      <c r="AT39" s="111"/>
      <c r="AU39" s="111"/>
      <c r="AV39" s="111"/>
      <c r="AW39" s="111"/>
      <c r="AX39" s="111"/>
      <c r="AY39" s="114" t="s">
        <v>311</v>
      </c>
      <c r="AZ39" s="111"/>
      <c r="BA39" s="111"/>
      <c r="BB39" s="111"/>
      <c r="BC39" s="111"/>
      <c r="BD39" s="111"/>
      <c r="BE39" s="111"/>
    </row>
    <row r="40" spans="20:57" x14ac:dyDescent="0.25">
      <c r="T40" s="99" t="s">
        <v>365</v>
      </c>
      <c r="U40">
        <f>U39*U38</f>
        <v>0</v>
      </c>
      <c r="V40">
        <f>V39*V38</f>
        <v>-1836.8986999999997</v>
      </c>
      <c r="W40">
        <f>W39*W38</f>
        <v>0</v>
      </c>
      <c r="X40">
        <f>X39*X38</f>
        <v>2364.1251999999986</v>
      </c>
      <c r="AE40">
        <f>AE23-AE3</f>
        <v>151.94929999999999</v>
      </c>
      <c r="AF40" t="s">
        <v>326</v>
      </c>
      <c r="AT40" s="111"/>
      <c r="AU40" s="111"/>
      <c r="AV40" s="111"/>
      <c r="AW40" s="111"/>
      <c r="AX40" s="111"/>
      <c r="AY40" s="115" t="s">
        <v>295</v>
      </c>
      <c r="AZ40" s="111">
        <f>AE3</f>
        <v>455</v>
      </c>
      <c r="BA40" s="111">
        <f>BA43*AE9</f>
        <v>363.87287422524412</v>
      </c>
      <c r="BB40" s="111">
        <f>AE3</f>
        <v>455</v>
      </c>
      <c r="BC40" s="111">
        <f>AE3</f>
        <v>455</v>
      </c>
      <c r="BD40" s="111"/>
      <c r="BE40" s="111"/>
    </row>
    <row r="41" spans="20:57" x14ac:dyDescent="0.25">
      <c r="T41" s="99"/>
      <c r="AE41" s="97">
        <f>AE40/A27</f>
        <v>1877.5166499857903</v>
      </c>
      <c r="AF41" s="97" t="s">
        <v>327</v>
      </c>
      <c r="AT41" s="111"/>
      <c r="AU41" s="111"/>
      <c r="AV41" s="111"/>
      <c r="AW41" s="111"/>
      <c r="AX41" s="111"/>
      <c r="AY41" s="115" t="s">
        <v>294</v>
      </c>
      <c r="AZ41" s="111">
        <v>0</v>
      </c>
      <c r="BA41" s="111">
        <f>AE46</f>
        <v>9.3190003567019541</v>
      </c>
      <c r="BB41" s="111">
        <v>0</v>
      </c>
      <c r="BC41" s="111">
        <v>0</v>
      </c>
      <c r="BD41" s="111" t="s">
        <v>312</v>
      </c>
      <c r="BE41" s="111"/>
    </row>
    <row r="42" spans="20:57" x14ac:dyDescent="0.25">
      <c r="X42" s="59" t="s">
        <v>277</v>
      </c>
      <c r="AE42">
        <f>AE41*A26</f>
        <v>40.096245577096539</v>
      </c>
      <c r="AF42" t="s">
        <v>328</v>
      </c>
      <c r="AT42" s="111"/>
      <c r="AU42" s="111"/>
      <c r="AV42" s="111"/>
      <c r="AW42" s="111"/>
      <c r="AX42" s="111"/>
      <c r="AY42" s="115" t="s">
        <v>313</v>
      </c>
      <c r="AZ42" s="111">
        <f>AZ41*ParameterEstimation650MWPlant!$AD$14</f>
        <v>0</v>
      </c>
      <c r="BA42" s="111">
        <f>BA41*AE47*ParameterEstimation650MWPlant!$AD$14</f>
        <v>89.87219446772842</v>
      </c>
      <c r="BB42" s="111">
        <f>BB41*ParameterEstimation650MWPlant!$AD$14</f>
        <v>0</v>
      </c>
      <c r="BC42" s="111">
        <f>BC41*ParameterEstimation650MWPlant!$AD$14</f>
        <v>0</v>
      </c>
      <c r="BD42" s="111"/>
      <c r="BE42" s="111"/>
    </row>
    <row r="43" spans="20:57" x14ac:dyDescent="0.25">
      <c r="X43" s="99" t="s">
        <v>270</v>
      </c>
      <c r="Y43">
        <f>V28</f>
        <v>64.067999999999998</v>
      </c>
      <c r="AG43" t="s">
        <v>329</v>
      </c>
      <c r="AT43" s="111"/>
      <c r="AU43" s="111"/>
      <c r="AV43" s="111"/>
      <c r="AW43" s="111"/>
      <c r="AX43" s="111"/>
      <c r="AY43" s="115" t="s">
        <v>300</v>
      </c>
      <c r="AZ43" s="111">
        <f>$AE$8-AZ41</f>
        <v>46.53</v>
      </c>
      <c r="BA43" s="111">
        <f>$AE$8-BA41</f>
        <v>37.210999643298045</v>
      </c>
      <c r="BB43" s="111">
        <f>$AE$8-BB41</f>
        <v>46.53</v>
      </c>
      <c r="BC43" s="111">
        <f>$AE$8-BC41</f>
        <v>46.53</v>
      </c>
      <c r="BD43" s="111" t="s">
        <v>312</v>
      </c>
      <c r="BE43" s="111"/>
    </row>
    <row r="44" spans="20:57" x14ac:dyDescent="0.25">
      <c r="X44" s="99" t="s">
        <v>271</v>
      </c>
      <c r="Y44" s="97">
        <f>Y43*A28</f>
        <v>242.78824872000001</v>
      </c>
      <c r="AG44" t="s">
        <v>330</v>
      </c>
      <c r="AT44" s="111"/>
      <c r="AU44" s="111"/>
      <c r="AV44" s="111"/>
      <c r="AW44" s="111"/>
      <c r="AX44" s="111"/>
      <c r="AY44" s="115" t="s">
        <v>314</v>
      </c>
      <c r="AZ44" s="111">
        <f>AZ43*ParameterEstimation650MWPlant!$AD$14</f>
        <v>112.34024308466051</v>
      </c>
      <c r="BA44" s="111">
        <f>BA43*ParameterEstimation650MWPlant!$AD$14</f>
        <v>89.840806906325341</v>
      </c>
      <c r="BB44" s="111">
        <f>BB43*ParameterEstimation650MWPlant!$AD$14</f>
        <v>112.34024308466051</v>
      </c>
      <c r="BC44" s="111">
        <f>BC43*ParameterEstimation650MWPlant!$AD$14</f>
        <v>112.34024308466051</v>
      </c>
      <c r="BD44" s="111"/>
      <c r="BE44" s="111"/>
    </row>
    <row r="45" spans="20:57" x14ac:dyDescent="0.25">
      <c r="X45" s="99" t="s">
        <v>272</v>
      </c>
      <c r="Y45">
        <f>U16-V16</f>
        <v>183.68986999999998</v>
      </c>
      <c r="AE45" s="97">
        <f>AE41*(A9/A8)</f>
        <v>11.756270989616313</v>
      </c>
      <c r="AF45" t="s">
        <v>331</v>
      </c>
      <c r="AT45" s="111"/>
      <c r="AU45" s="111"/>
      <c r="AV45" s="111"/>
      <c r="AW45" s="111"/>
      <c r="AX45" s="111"/>
      <c r="AY45" s="115" t="s">
        <v>316</v>
      </c>
      <c r="AZ45" s="111">
        <f>(AZ41+AZ42)/$A$11</f>
        <v>0</v>
      </c>
      <c r="BA45" s="111">
        <f>(BA41+BA42)/$A$11</f>
        <v>4644.6523143112181</v>
      </c>
      <c r="BB45" s="111">
        <f>(BB41+BB42)/$A$11</f>
        <v>0</v>
      </c>
      <c r="BC45" s="111">
        <f>(BC41+BC42)/$A$11</f>
        <v>0</v>
      </c>
      <c r="BD45" s="111"/>
      <c r="BE45" s="111"/>
    </row>
    <row r="46" spans="20:57" x14ac:dyDescent="0.25">
      <c r="X46" s="99" t="s">
        <v>274</v>
      </c>
      <c r="Y46">
        <f>W16-X16</f>
        <v>183.68986999999998</v>
      </c>
      <c r="AE46" s="59">
        <f>AE45*AE37</f>
        <v>9.3190003567019541</v>
      </c>
      <c r="AF46" t="s">
        <v>347</v>
      </c>
      <c r="AT46" s="111"/>
      <c r="AU46" s="111"/>
      <c r="AV46" s="111"/>
      <c r="AW46" s="111"/>
      <c r="AX46" s="111"/>
      <c r="AY46" s="115" t="s">
        <v>317</v>
      </c>
      <c r="AZ46" s="111">
        <f>(AZ44+AZ43)/$A$11</f>
        <v>7439.1385598735951</v>
      </c>
      <c r="BA46" s="111">
        <f>(BA44+BA43)/$A$11</f>
        <v>5949.2323726176901</v>
      </c>
      <c r="BB46" s="111">
        <f>(BB44+BB43)/$A$11</f>
        <v>7439.1385598735951</v>
      </c>
      <c r="BC46" s="111">
        <f>(BC44+BC43)/$A$11</f>
        <v>7439.1385598735951</v>
      </c>
      <c r="BD46" s="111"/>
      <c r="BE46" s="111"/>
    </row>
    <row r="47" spans="20:57" x14ac:dyDescent="0.25">
      <c r="X47" s="99" t="s">
        <v>273</v>
      </c>
      <c r="Y47">
        <f>Y44-Y45-Y46</f>
        <v>-124.59149127999996</v>
      </c>
      <c r="AE47">
        <f>AE30/AE46</f>
        <v>3.9944198492523486</v>
      </c>
      <c r="AF47" t="s">
        <v>352</v>
      </c>
      <c r="AT47" s="111"/>
      <c r="AU47" s="111"/>
      <c r="AV47" s="111"/>
      <c r="AW47" s="111"/>
      <c r="AX47" s="111"/>
      <c r="AY47" s="115" t="s">
        <v>320</v>
      </c>
      <c r="AZ47" s="111">
        <v>0</v>
      </c>
      <c r="BA47" s="111">
        <v>0</v>
      </c>
      <c r="BB47" s="111">
        <v>0</v>
      </c>
      <c r="BC47" s="111">
        <f>BA45</f>
        <v>4644.6523143112181</v>
      </c>
      <c r="BD47" s="111"/>
      <c r="BE47" s="111"/>
    </row>
    <row r="48" spans="20:57" x14ac:dyDescent="0.25">
      <c r="AE48" s="59">
        <f>AE47*A15</f>
        <v>39.059953770494495</v>
      </c>
      <c r="AF48" t="s">
        <v>348</v>
      </c>
      <c r="AT48" s="111"/>
      <c r="AU48" s="111"/>
      <c r="AV48" s="111"/>
      <c r="AW48" s="111"/>
      <c r="AX48" s="111"/>
      <c r="AY48" s="115" t="s">
        <v>319</v>
      </c>
      <c r="AZ48" s="111">
        <f>AZ46*$A$12</f>
        <v>455.49845402106024</v>
      </c>
      <c r="BA48" s="111">
        <f>BA46*$A$12</f>
        <v>364.27149817538117</v>
      </c>
      <c r="BB48" s="111">
        <f>BB46*$A$12</f>
        <v>455.49845402106024</v>
      </c>
      <c r="BC48" s="111">
        <f>BC46*$A$12</f>
        <v>455.49845402106024</v>
      </c>
      <c r="BD48" s="111"/>
      <c r="BE48" s="111"/>
    </row>
    <row r="49" spans="31:57" x14ac:dyDescent="0.25">
      <c r="AE49">
        <f>AE3-(AE48*AE46)</f>
        <v>91.000276879999944</v>
      </c>
      <c r="AF49" t="s">
        <v>350</v>
      </c>
      <c r="AT49" s="111"/>
      <c r="AU49" s="111"/>
      <c r="AV49" s="111"/>
      <c r="AW49" s="111"/>
      <c r="AX49" s="111"/>
      <c r="AY49" s="115" t="s">
        <v>318</v>
      </c>
      <c r="AZ49" s="111">
        <f>AZ47*$A$27</f>
        <v>0</v>
      </c>
      <c r="BA49" s="111">
        <f>BA47*$A$27</f>
        <v>0</v>
      </c>
      <c r="BB49" s="111">
        <f>BB47*$A$27</f>
        <v>0</v>
      </c>
      <c r="BC49" s="116">
        <f>BC47*$A$27</f>
        <v>375.89635644952119</v>
      </c>
      <c r="BD49" s="111">
        <f>SUM(BA41:BA42)*AE19</f>
        <v>375.88900043497188</v>
      </c>
      <c r="BE49" s="111"/>
    </row>
    <row r="50" spans="31:57" x14ac:dyDescent="0.25">
      <c r="AF50" t="s">
        <v>351</v>
      </c>
      <c r="AT50" s="111"/>
      <c r="AU50" s="111"/>
      <c r="AV50" s="111"/>
      <c r="AW50" s="111"/>
      <c r="AX50" s="111"/>
      <c r="AY50" s="111"/>
      <c r="AZ50" s="111">
        <f>SUM(AZ40:AZ44)</f>
        <v>613.8702430846605</v>
      </c>
      <c r="BA50" s="111">
        <f>SUM(BA40:BA44)</f>
        <v>590.11587559929796</v>
      </c>
      <c r="BB50" s="111">
        <f>SUM(BB40:BB44)</f>
        <v>613.8702430846605</v>
      </c>
      <c r="BC50" s="111">
        <f>SUM(BC40:BC44)</f>
        <v>613.8702430846605</v>
      </c>
      <c r="BD50" s="111"/>
      <c r="BE50" s="111"/>
    </row>
    <row r="51" spans="31:57" x14ac:dyDescent="0.25">
      <c r="AG51">
        <f>AE10*AE3</f>
        <v>91</v>
      </c>
      <c r="AT51" s="111"/>
      <c r="AU51" s="111"/>
      <c r="AV51" s="111"/>
      <c r="AW51" s="111"/>
      <c r="AX51" s="111"/>
      <c r="AY51" s="115" t="s">
        <v>296</v>
      </c>
      <c r="AZ51" s="111">
        <v>0</v>
      </c>
      <c r="BA51" s="111">
        <v>0</v>
      </c>
      <c r="BB51" s="111">
        <v>0</v>
      </c>
      <c r="BC51" s="111">
        <f>SUM(BA41:BA42)*AE19</f>
        <v>375.88900043497188</v>
      </c>
      <c r="BD51" s="117"/>
      <c r="BE51" s="111"/>
    </row>
    <row r="52" spans="31:57" x14ac:dyDescent="0.25">
      <c r="AT52" s="111"/>
      <c r="AU52" s="111"/>
      <c r="AV52" s="111"/>
      <c r="AW52" s="111"/>
      <c r="AX52" s="111"/>
      <c r="AY52" s="115" t="s">
        <v>302</v>
      </c>
      <c r="AZ52" s="111">
        <v>0</v>
      </c>
      <c r="BA52" s="111">
        <v>0</v>
      </c>
      <c r="BB52" s="111">
        <v>0</v>
      </c>
      <c r="BC52" s="111">
        <f>AE30</f>
        <v>37.224000000000004</v>
      </c>
      <c r="BD52" s="111"/>
      <c r="BE52" s="111"/>
    </row>
    <row r="53" spans="31:57" x14ac:dyDescent="0.25">
      <c r="AE53" s="7" t="s">
        <v>289</v>
      </c>
      <c r="AT53" s="111"/>
      <c r="AU53" s="111"/>
      <c r="AV53" s="111"/>
      <c r="AW53" s="111"/>
      <c r="AX53" s="111"/>
      <c r="AY53" s="115" t="s">
        <v>303</v>
      </c>
      <c r="AZ53" s="111">
        <v>0</v>
      </c>
      <c r="BA53" s="111">
        <v>0</v>
      </c>
      <c r="BB53" s="111">
        <v>0</v>
      </c>
      <c r="BC53" s="111">
        <f>BC51-BC52</f>
        <v>338.66500043497189</v>
      </c>
      <c r="BD53" s="111"/>
      <c r="BE53" s="111"/>
    </row>
    <row r="54" spans="31:57" x14ac:dyDescent="0.25">
      <c r="AE54" s="59">
        <f>(AE23-AE3)-AE46</f>
        <v>142.63029964329803</v>
      </c>
      <c r="AF54" t="s">
        <v>287</v>
      </c>
      <c r="AT54" s="111"/>
      <c r="AU54" s="111"/>
      <c r="AV54" s="111"/>
      <c r="AW54" s="111"/>
      <c r="AX54" s="111"/>
      <c r="AY54" s="115" t="s">
        <v>297</v>
      </c>
      <c r="AZ54" s="111">
        <f>AZ51-AZ41+AZ40</f>
        <v>455</v>
      </c>
      <c r="BA54" s="111">
        <f>BA51-BA41+BA40</f>
        <v>354.55387386854215</v>
      </c>
      <c r="BB54" s="111">
        <f>BB51-BB41+BB40</f>
        <v>455</v>
      </c>
      <c r="BC54" s="111">
        <f>BC51-BC41+BC40</f>
        <v>830.88900043497188</v>
      </c>
      <c r="BD54" s="111"/>
      <c r="BE54" s="111"/>
    </row>
    <row r="55" spans="31:57" x14ac:dyDescent="0.25">
      <c r="AE55">
        <f>AE54/AE46</f>
        <v>15.305321835375022</v>
      </c>
      <c r="AF55" t="s">
        <v>353</v>
      </c>
      <c r="AT55" s="111"/>
      <c r="AU55" s="111"/>
      <c r="AV55" s="111"/>
      <c r="AW55" s="111"/>
      <c r="AX55" s="111"/>
      <c r="AY55" s="111"/>
      <c r="AZ55" s="111"/>
      <c r="BA55" s="111"/>
      <c r="BB55" s="111"/>
      <c r="BC55" s="111">
        <f>SUM(AZ54:BC54)</f>
        <v>2095.4428743035141</v>
      </c>
      <c r="BD55" s="116" t="s">
        <v>305</v>
      </c>
      <c r="BE55" s="111"/>
    </row>
    <row r="56" spans="31:57" x14ac:dyDescent="0.25">
      <c r="AT56" s="111"/>
      <c r="AU56" s="111"/>
      <c r="AV56" s="111"/>
      <c r="AW56" s="111"/>
      <c r="AX56" s="111"/>
      <c r="AY56" s="111"/>
      <c r="AZ56" s="111"/>
      <c r="BA56" s="111"/>
      <c r="BB56" s="111"/>
      <c r="BC56" s="111"/>
      <c r="BD56" s="111"/>
      <c r="BE56" s="111"/>
    </row>
    <row r="57" spans="31:57" x14ac:dyDescent="0.25">
      <c r="AT57" s="111"/>
      <c r="AU57" s="111"/>
      <c r="AV57" s="111"/>
      <c r="AW57" s="111"/>
      <c r="AX57" s="111"/>
      <c r="AY57" s="111"/>
      <c r="AZ57" s="111"/>
      <c r="BA57" s="111"/>
      <c r="BB57" s="111"/>
      <c r="BC57" s="111"/>
      <c r="BD57" s="111"/>
      <c r="BE57" s="1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6"/>
  <sheetViews>
    <sheetView zoomScale="85" zoomScaleNormal="85" workbookViewId="0">
      <selection activeCell="I27" sqref="I27"/>
    </sheetView>
  </sheetViews>
  <sheetFormatPr defaultRowHeight="15" x14ac:dyDescent="0.25"/>
  <cols>
    <col min="1" max="1" width="29.28515625" style="10" customWidth="1"/>
    <col min="2" max="2" width="26.140625" style="10" customWidth="1"/>
    <col min="3" max="3" width="21.28515625" style="10" customWidth="1"/>
    <col min="4" max="4" width="15.85546875" style="10" customWidth="1"/>
    <col min="5" max="5" width="14.28515625" style="10" customWidth="1"/>
    <col min="6" max="6" width="18" style="10" customWidth="1"/>
    <col min="7" max="7" width="11.140625" style="10" customWidth="1"/>
    <col min="8" max="8" width="12.5703125" style="10" customWidth="1"/>
    <col min="9" max="9" width="11.42578125" style="10" customWidth="1"/>
    <col min="10" max="10" width="10.42578125" style="10" customWidth="1"/>
    <col min="11" max="11" width="12.28515625" style="10" bestFit="1" customWidth="1"/>
    <col min="12" max="13" width="11.5703125" style="10" bestFit="1" customWidth="1"/>
    <col min="14" max="14" width="11.42578125" style="10" customWidth="1"/>
    <col min="15" max="15" width="19.28515625" style="10" customWidth="1"/>
    <col min="16" max="16" width="23.140625" style="10" customWidth="1"/>
    <col min="17" max="17" width="9.140625" style="10"/>
    <col min="18" max="19" width="14.28515625" style="10" customWidth="1"/>
    <col min="20" max="20" width="20.42578125" style="10" customWidth="1"/>
    <col min="21" max="21" width="18.7109375" style="10" customWidth="1"/>
    <col min="22" max="22" width="15.140625" style="10" customWidth="1"/>
    <col min="23" max="23" width="24.28515625" style="10" customWidth="1"/>
    <col min="24" max="26" width="15.42578125" style="10" customWidth="1"/>
    <col min="27" max="27" width="15.85546875" style="10" customWidth="1"/>
    <col min="28" max="28" width="15.42578125" style="10" customWidth="1"/>
    <col min="29" max="29" width="13.140625" style="10" customWidth="1"/>
    <col min="30" max="30" width="21.28515625" style="10" customWidth="1"/>
    <col min="31" max="31" width="13.85546875" style="10" customWidth="1"/>
    <col min="32" max="32" width="28.42578125" style="10" customWidth="1"/>
    <col min="33" max="33" width="29.42578125" style="10" customWidth="1"/>
    <col min="34" max="16384" width="9.140625" style="10"/>
  </cols>
  <sheetData>
    <row r="1" spans="1:33" ht="90" x14ac:dyDescent="0.25">
      <c r="A1" s="162" t="s">
        <v>663</v>
      </c>
      <c r="B1" s="162" t="s">
        <v>670</v>
      </c>
      <c r="C1" s="162" t="s">
        <v>671</v>
      </c>
      <c r="D1" s="162" t="s">
        <v>156</v>
      </c>
      <c r="E1" s="162" t="s">
        <v>33</v>
      </c>
      <c r="F1" s="162" t="s">
        <v>34</v>
      </c>
      <c r="G1" s="162" t="s">
        <v>39</v>
      </c>
      <c r="H1" s="162" t="s">
        <v>127</v>
      </c>
      <c r="I1" s="162" t="s">
        <v>685</v>
      </c>
      <c r="J1" s="162" t="s">
        <v>686</v>
      </c>
      <c r="K1" s="162" t="s">
        <v>688</v>
      </c>
      <c r="L1" s="162" t="s">
        <v>684</v>
      </c>
      <c r="M1" s="165" t="s">
        <v>689</v>
      </c>
      <c r="N1" s="165" t="s">
        <v>691</v>
      </c>
      <c r="O1" s="165" t="s">
        <v>692</v>
      </c>
      <c r="P1" s="165" t="s">
        <v>694</v>
      </c>
      <c r="Q1" s="165" t="s">
        <v>697</v>
      </c>
      <c r="R1" s="165" t="s">
        <v>698</v>
      </c>
      <c r="S1" s="165" t="s">
        <v>696</v>
      </c>
      <c r="T1" s="163" t="s">
        <v>699</v>
      </c>
      <c r="U1" s="163" t="s">
        <v>693</v>
      </c>
      <c r="V1" s="163" t="s">
        <v>690</v>
      </c>
      <c r="W1" s="163" t="s">
        <v>695</v>
      </c>
    </row>
    <row r="2" spans="1:33" x14ac:dyDescent="0.25">
      <c r="A2" s="46" t="s">
        <v>672</v>
      </c>
      <c r="B2" s="5" t="s">
        <v>667</v>
      </c>
      <c r="C2" s="5" t="s">
        <v>157</v>
      </c>
      <c r="D2" s="5">
        <v>354.2</v>
      </c>
      <c r="E2" s="5">
        <v>650</v>
      </c>
      <c r="F2" s="5">
        <v>602.5</v>
      </c>
      <c r="G2" s="5">
        <v>0</v>
      </c>
      <c r="H2" s="5">
        <v>0</v>
      </c>
      <c r="I2" s="5">
        <v>9090</v>
      </c>
      <c r="J2" s="5">
        <v>9807</v>
      </c>
      <c r="K2" s="176">
        <v>0</v>
      </c>
      <c r="L2" s="176">
        <v>0</v>
      </c>
      <c r="M2" s="165"/>
      <c r="T2" s="125"/>
      <c r="U2" s="125"/>
      <c r="V2" s="125"/>
      <c r="W2" s="125"/>
    </row>
    <row r="3" spans="1:33" x14ac:dyDescent="0.25">
      <c r="A3" s="46" t="s">
        <v>672</v>
      </c>
      <c r="B3" s="5" t="s">
        <v>667</v>
      </c>
      <c r="C3" s="5" t="s">
        <v>179</v>
      </c>
      <c r="D3" s="5">
        <v>354.2</v>
      </c>
      <c r="E3" s="5">
        <v>517.1</v>
      </c>
      <c r="F3" s="5">
        <v>411.4</v>
      </c>
      <c r="G3" s="5">
        <v>54.55</v>
      </c>
      <c r="H3" s="5">
        <v>8624</v>
      </c>
      <c r="I3" s="5">
        <v>11430</v>
      </c>
      <c r="J3" s="5">
        <v>14360</v>
      </c>
      <c r="K3" s="176">
        <f>(J3-J2)/J2</f>
        <v>0.46426022229020086</v>
      </c>
      <c r="L3" s="176">
        <f>(F3-F2)/F2</f>
        <v>-0.31717842323651457</v>
      </c>
      <c r="M3" s="167">
        <f>F2-F3</f>
        <v>191.10000000000002</v>
      </c>
      <c r="N3" s="10">
        <f>M3-G3</f>
        <v>136.55000000000001</v>
      </c>
      <c r="O3" s="10">
        <f>H3/M3</f>
        <v>45.128205128205124</v>
      </c>
      <c r="Q3" s="10">
        <f>D3/(E3+N3)</f>
        <v>0.54188021112216012</v>
      </c>
      <c r="R3" s="10">
        <f>Q3/O3</f>
        <v>1.2007572860093322E-2</v>
      </c>
      <c r="S3" s="10">
        <f>H3/D3</f>
        <v>24.347826086956523</v>
      </c>
      <c r="T3" s="125"/>
      <c r="U3" s="125">
        <f>N3/G3</f>
        <v>2.5032080659945009</v>
      </c>
      <c r="V3" s="125">
        <f>F3/M3</f>
        <v>2.1527995813710095</v>
      </c>
      <c r="W3" s="125"/>
    </row>
    <row r="4" spans="1:33" x14ac:dyDescent="0.25">
      <c r="A4" s="46" t="s">
        <v>672</v>
      </c>
      <c r="B4" s="5" t="s">
        <v>667</v>
      </c>
      <c r="C4" s="5" t="s">
        <v>674</v>
      </c>
      <c r="D4" s="5">
        <v>354.2</v>
      </c>
      <c r="E4" s="5">
        <v>650</v>
      </c>
      <c r="F4" s="5">
        <v>577.5</v>
      </c>
      <c r="G4" s="5">
        <v>13.71</v>
      </c>
      <c r="H4" s="5">
        <v>8625</v>
      </c>
      <c r="I4" s="5">
        <v>9090</v>
      </c>
      <c r="J4" s="5">
        <v>10230</v>
      </c>
      <c r="K4" s="177">
        <f>(J4-J2)/J2</f>
        <v>4.3132456408687674E-2</v>
      </c>
      <c r="L4" s="176">
        <f>(F4-F2)/F2</f>
        <v>-4.1493775933609957E-2</v>
      </c>
      <c r="M4" s="167"/>
      <c r="P4" s="10">
        <f>F4/H4</f>
        <v>6.6956521739130428E-2</v>
      </c>
      <c r="T4" s="125">
        <f>R3/(1/S3-R3)</f>
        <v>0.41314452491622533</v>
      </c>
      <c r="U4" s="125"/>
      <c r="V4" s="125"/>
      <c r="W4" s="125">
        <f>P4*O3</f>
        <v>3.0216276477146038</v>
      </c>
      <c r="X4" s="81"/>
    </row>
    <row r="5" spans="1:33" x14ac:dyDescent="0.25">
      <c r="A5" s="46" t="s">
        <v>672</v>
      </c>
      <c r="B5" s="5" t="s">
        <v>668</v>
      </c>
      <c r="C5" s="5" t="s">
        <v>157</v>
      </c>
      <c r="D5" s="5">
        <v>334.6</v>
      </c>
      <c r="E5" s="5">
        <v>650</v>
      </c>
      <c r="F5" s="5">
        <v>605.29999999999995</v>
      </c>
      <c r="G5" s="5">
        <v>0</v>
      </c>
      <c r="H5" s="5">
        <v>0</v>
      </c>
      <c r="I5" s="5">
        <v>8588</v>
      </c>
      <c r="J5" s="5">
        <v>9222</v>
      </c>
      <c r="K5" s="176">
        <v>0</v>
      </c>
      <c r="L5" s="176">
        <v>0</v>
      </c>
      <c r="M5" s="167"/>
      <c r="T5" s="125"/>
      <c r="U5" s="125"/>
      <c r="V5" s="125"/>
      <c r="W5" s="125"/>
    </row>
    <row r="6" spans="1:33" x14ac:dyDescent="0.25">
      <c r="A6" s="46" t="s">
        <v>672</v>
      </c>
      <c r="B6" s="5" t="s">
        <v>668</v>
      </c>
      <c r="C6" s="5" t="s">
        <v>179</v>
      </c>
      <c r="D6" s="5">
        <v>334.6</v>
      </c>
      <c r="E6" s="5">
        <v>530.79999999999995</v>
      </c>
      <c r="F6" s="5">
        <v>431.5</v>
      </c>
      <c r="G6" s="5">
        <v>51.53</v>
      </c>
      <c r="H6" s="5">
        <v>8147</v>
      </c>
      <c r="I6" s="5">
        <v>10510</v>
      </c>
      <c r="J6" s="5">
        <v>12930</v>
      </c>
      <c r="K6" s="176">
        <f>(J6-J5)/J5</f>
        <v>0.40208197787898503</v>
      </c>
      <c r="L6" s="176">
        <f>(F6-F5)/F5</f>
        <v>-0.28713034858747721</v>
      </c>
      <c r="M6" s="167">
        <f>F5-F6</f>
        <v>173.79999999999995</v>
      </c>
      <c r="N6" s="10">
        <f>M6-G6</f>
        <v>122.26999999999995</v>
      </c>
      <c r="O6" s="10">
        <f>H6/M6</f>
        <v>46.87571921749138</v>
      </c>
      <c r="Q6" s="10">
        <f>D6/(E6+N6)</f>
        <v>0.51234936530540376</v>
      </c>
      <c r="R6" s="10">
        <f>Q6/O6</f>
        <v>1.0929952091577164E-2</v>
      </c>
      <c r="S6" s="10">
        <f>H6/D6</f>
        <v>24.348475791990435</v>
      </c>
      <c r="T6" s="125"/>
      <c r="U6" s="125">
        <f>N6/G6</f>
        <v>2.3727925480302727</v>
      </c>
      <c r="V6" s="125">
        <f>F6/M6</f>
        <v>2.4827387802071352</v>
      </c>
      <c r="W6" s="125"/>
    </row>
    <row r="7" spans="1:33" x14ac:dyDescent="0.25">
      <c r="A7" s="46" t="s">
        <v>672</v>
      </c>
      <c r="B7" s="5" t="s">
        <v>668</v>
      </c>
      <c r="C7" s="5" t="s">
        <v>674</v>
      </c>
      <c r="D7" s="5">
        <v>334.6</v>
      </c>
      <c r="E7" s="5">
        <v>650</v>
      </c>
      <c r="F7" s="5">
        <v>583.5</v>
      </c>
      <c r="G7" s="5">
        <v>12.61</v>
      </c>
      <c r="H7" s="5">
        <v>8147</v>
      </c>
      <c r="I7" s="5">
        <v>8588</v>
      </c>
      <c r="J7" s="5">
        <v>9567</v>
      </c>
      <c r="K7" s="177">
        <f>(J7-J5)/J5</f>
        <v>3.7410540013012361E-2</v>
      </c>
      <c r="L7" s="176">
        <f>(F7-F5)/F5</f>
        <v>-3.6015199074838848E-2</v>
      </c>
      <c r="M7" s="167"/>
      <c r="P7" s="10">
        <f>F7/H7</f>
        <v>7.1621455750583041E-2</v>
      </c>
      <c r="T7" s="125">
        <f>R6/(1/S6-R6)</f>
        <v>0.36263484048657324</v>
      </c>
      <c r="U7" s="125"/>
      <c r="V7" s="125"/>
      <c r="W7" s="125">
        <f>P7*O6</f>
        <v>3.357307249712314</v>
      </c>
    </row>
    <row r="8" spans="1:33" x14ac:dyDescent="0.25">
      <c r="A8" s="46" t="s">
        <v>672</v>
      </c>
      <c r="B8" s="5" t="s">
        <v>669</v>
      </c>
      <c r="C8" s="5" t="s">
        <v>157</v>
      </c>
      <c r="D8" s="5">
        <v>304.89999999999998</v>
      </c>
      <c r="E8" s="5">
        <v>650</v>
      </c>
      <c r="F8" s="5">
        <v>609</v>
      </c>
      <c r="G8" s="5">
        <v>0</v>
      </c>
      <c r="H8" s="5">
        <v>0</v>
      </c>
      <c r="I8" s="5">
        <v>7825</v>
      </c>
      <c r="J8" s="5">
        <v>8352</v>
      </c>
      <c r="K8" s="176">
        <v>0</v>
      </c>
      <c r="L8" s="176">
        <v>0</v>
      </c>
      <c r="M8" s="167"/>
      <c r="T8" s="125"/>
      <c r="U8" s="125"/>
      <c r="V8" s="125"/>
      <c r="W8" s="125"/>
    </row>
    <row r="9" spans="1:33" x14ac:dyDescent="0.25">
      <c r="A9" s="46" t="s">
        <v>672</v>
      </c>
      <c r="B9" s="5" t="s">
        <v>669</v>
      </c>
      <c r="C9" s="5" t="s">
        <v>179</v>
      </c>
      <c r="D9" s="5">
        <v>304.89999999999998</v>
      </c>
      <c r="E9" s="5">
        <v>541.4</v>
      </c>
      <c r="F9" s="5">
        <v>450.2</v>
      </c>
      <c r="G9" s="5">
        <v>46.95</v>
      </c>
      <c r="H9" s="5">
        <v>7423</v>
      </c>
      <c r="I9" s="5">
        <v>9393</v>
      </c>
      <c r="J9" s="5">
        <v>11300</v>
      </c>
      <c r="K9" s="176">
        <f>(J9-J8)/J8</f>
        <v>0.35296934865900381</v>
      </c>
      <c r="L9" s="176">
        <f>(F9-F8)/F8</f>
        <v>-0.26075533661740558</v>
      </c>
      <c r="M9" s="167">
        <f>F8-F9</f>
        <v>158.80000000000001</v>
      </c>
      <c r="N9" s="10">
        <f>M9-G9</f>
        <v>111.85000000000001</v>
      </c>
      <c r="O9" s="10">
        <f>H9/M9</f>
        <v>46.744332493702764</v>
      </c>
      <c r="Q9" s="10">
        <f>D9/(E9+N9)</f>
        <v>0.46674320704171446</v>
      </c>
      <c r="R9" s="10">
        <f>Q9/O9</f>
        <v>9.9850224004074187E-3</v>
      </c>
      <c r="S9" s="10">
        <f>H9/D9</f>
        <v>24.345687110528043</v>
      </c>
      <c r="T9" s="125"/>
      <c r="U9" s="125">
        <f>N9/G9</f>
        <v>2.3823216187433438</v>
      </c>
      <c r="V9" s="125">
        <f>F9/M9</f>
        <v>2.8350125944584379</v>
      </c>
      <c r="W9" s="125"/>
    </row>
    <row r="10" spans="1:33" x14ac:dyDescent="0.25">
      <c r="A10" s="46" t="s">
        <v>672</v>
      </c>
      <c r="B10" s="5" t="s">
        <v>669</v>
      </c>
      <c r="C10" s="5" t="s">
        <v>674</v>
      </c>
      <c r="D10" s="5">
        <v>304.89999999999998</v>
      </c>
      <c r="E10" s="5">
        <v>650</v>
      </c>
      <c r="F10" s="5">
        <v>589.29999999999995</v>
      </c>
      <c r="G10" s="5">
        <v>11.24</v>
      </c>
      <c r="H10" s="5">
        <v>7424</v>
      </c>
      <c r="I10" s="5">
        <v>7825</v>
      </c>
      <c r="J10" s="5">
        <v>8631</v>
      </c>
      <c r="K10" s="177">
        <f>(J10-J8)/J8</f>
        <v>3.3405172413793101E-2</v>
      </c>
      <c r="L10" s="176">
        <f>(F10-F8)/F8</f>
        <v>-3.2348111658456559E-2</v>
      </c>
      <c r="M10" s="167"/>
      <c r="P10" s="10">
        <f>F10/H10</f>
        <v>7.9377693965517235E-2</v>
      </c>
      <c r="T10" s="125">
        <f>R9/(1/S9-R9)</f>
        <v>0.32116493073111541</v>
      </c>
      <c r="U10" s="125"/>
      <c r="V10" s="125"/>
      <c r="W10" s="125">
        <f>P10*O9</f>
        <v>3.7104573193075212</v>
      </c>
    </row>
    <row r="11" spans="1:33" x14ac:dyDescent="0.25">
      <c r="A11" s="46" t="s">
        <v>673</v>
      </c>
      <c r="B11" s="5" t="s">
        <v>667</v>
      </c>
      <c r="C11" s="5" t="s">
        <v>157</v>
      </c>
      <c r="D11" s="5">
        <v>244.1</v>
      </c>
      <c r="E11" s="5">
        <v>650</v>
      </c>
      <c r="F11" s="5">
        <v>609.4</v>
      </c>
      <c r="G11" s="5">
        <v>0</v>
      </c>
      <c r="H11" s="5">
        <v>0</v>
      </c>
      <c r="I11" s="5">
        <v>8763</v>
      </c>
      <c r="J11" s="5">
        <v>9348</v>
      </c>
      <c r="K11" s="176">
        <v>0</v>
      </c>
      <c r="L11" s="176">
        <v>0</v>
      </c>
      <c r="M11" s="167"/>
      <c r="T11" s="125"/>
      <c r="U11" s="125"/>
      <c r="V11" s="125"/>
      <c r="W11" s="125"/>
    </row>
    <row r="12" spans="1:33" x14ac:dyDescent="0.25">
      <c r="A12" s="46" t="s">
        <v>673</v>
      </c>
      <c r="B12" s="5" t="s">
        <v>667</v>
      </c>
      <c r="C12" s="5" t="s">
        <v>179</v>
      </c>
      <c r="D12" s="5">
        <v>244.1</v>
      </c>
      <c r="E12" s="5">
        <v>527.79999999999995</v>
      </c>
      <c r="F12" s="5">
        <v>431</v>
      </c>
      <c r="G12" s="5">
        <v>50.26</v>
      </c>
      <c r="H12" s="5">
        <v>7944</v>
      </c>
      <c r="I12" s="5">
        <v>10800</v>
      </c>
      <c r="J12" s="5">
        <v>13220</v>
      </c>
      <c r="K12" s="176">
        <f>(J12-J11)/J11</f>
        <v>0.41420624732563116</v>
      </c>
      <c r="L12" s="176">
        <f>(F12-F11)/F11</f>
        <v>-0.29274696422710861</v>
      </c>
      <c r="M12" s="167">
        <f>F11-F12</f>
        <v>178.39999999999998</v>
      </c>
      <c r="N12" s="10">
        <f>M12-G12</f>
        <v>128.13999999999999</v>
      </c>
      <c r="O12" s="10">
        <f>H12/M12</f>
        <v>44.529147982062788</v>
      </c>
      <c r="Q12" s="10">
        <f>D12/(E12+N12)</f>
        <v>0.37213769552093184</v>
      </c>
      <c r="R12" s="10">
        <f>Q12/O12</f>
        <v>8.3571708057570779E-3</v>
      </c>
      <c r="S12" s="10">
        <f>H12/D12</f>
        <v>32.544039328144201</v>
      </c>
      <c r="T12" s="125"/>
      <c r="U12" s="125">
        <f>N12/G12</f>
        <v>2.5495423796259451</v>
      </c>
      <c r="V12" s="125">
        <f>F12/M12</f>
        <v>2.415919282511211</v>
      </c>
      <c r="W12" s="125"/>
    </row>
    <row r="13" spans="1:33" s="30" customFormat="1" x14ac:dyDescent="0.25">
      <c r="A13" s="46" t="s">
        <v>673</v>
      </c>
      <c r="B13" s="5" t="s">
        <v>667</v>
      </c>
      <c r="C13" s="5" t="s">
        <v>674</v>
      </c>
      <c r="D13" s="142">
        <v>244.1</v>
      </c>
      <c r="E13" s="142">
        <v>650</v>
      </c>
      <c r="F13" s="142">
        <v>585.4</v>
      </c>
      <c r="G13" s="142">
        <v>12.35</v>
      </c>
      <c r="H13" s="142">
        <v>7941</v>
      </c>
      <c r="I13" s="142">
        <v>8763</v>
      </c>
      <c r="J13" s="5">
        <v>9730</v>
      </c>
      <c r="K13" s="177">
        <f>(J13-J11)/J11</f>
        <v>4.0864356011981171E-2</v>
      </c>
      <c r="L13" s="176">
        <f>(F13-F11)/F11</f>
        <v>-3.938299967180834E-2</v>
      </c>
      <c r="M13" s="167"/>
      <c r="P13" s="10">
        <f>F13/H13</f>
        <v>7.3718675229819924E-2</v>
      </c>
      <c r="Q13" s="10"/>
      <c r="R13" s="10"/>
      <c r="S13" s="10"/>
      <c r="T13" s="125">
        <f>R12/(1/S12-R12)</f>
        <v>0.37358127067889596</v>
      </c>
      <c r="U13" s="170"/>
      <c r="V13" s="170"/>
      <c r="W13" s="125">
        <f>P13*O12</f>
        <v>3.2826297983502779</v>
      </c>
      <c r="AG13" s="167"/>
    </row>
    <row r="14" spans="1:33" x14ac:dyDescent="0.25">
      <c r="A14" s="46" t="s">
        <v>673</v>
      </c>
      <c r="B14" s="5" t="s">
        <v>668</v>
      </c>
      <c r="C14" s="5" t="s">
        <v>157</v>
      </c>
      <c r="D14" s="5">
        <v>230.5</v>
      </c>
      <c r="E14" s="5">
        <v>650</v>
      </c>
      <c r="F14" s="5">
        <v>611.79999999999995</v>
      </c>
      <c r="G14" s="5">
        <v>0</v>
      </c>
      <c r="H14" s="5">
        <v>0</v>
      </c>
      <c r="I14" s="5">
        <v>8279</v>
      </c>
      <c r="J14" s="5">
        <v>8796</v>
      </c>
      <c r="K14" s="176">
        <v>0</v>
      </c>
      <c r="L14" s="176">
        <v>0</v>
      </c>
      <c r="M14" s="167"/>
      <c r="T14" s="125"/>
      <c r="U14" s="125"/>
      <c r="V14" s="125"/>
      <c r="W14" s="125"/>
      <c r="AG14" s="109"/>
    </row>
    <row r="15" spans="1:33" x14ac:dyDescent="0.25">
      <c r="A15" s="46" t="s">
        <v>673</v>
      </c>
      <c r="B15" s="5" t="s">
        <v>668</v>
      </c>
      <c r="C15" s="5" t="s">
        <v>179</v>
      </c>
      <c r="D15" s="5">
        <v>230.5</v>
      </c>
      <c r="E15" s="5">
        <v>540.20000000000005</v>
      </c>
      <c r="F15" s="5">
        <v>449.4</v>
      </c>
      <c r="G15" s="5">
        <v>47.46</v>
      </c>
      <c r="H15" s="5">
        <v>7501</v>
      </c>
      <c r="I15" s="5">
        <v>9960</v>
      </c>
      <c r="J15" s="5">
        <v>11970</v>
      </c>
      <c r="K15" s="176">
        <f>(J15-J14)/J14</f>
        <v>0.36084583901773531</v>
      </c>
      <c r="L15" s="176">
        <f>(F15-F14)/F14</f>
        <v>-0.26544622425629288</v>
      </c>
      <c r="M15" s="167">
        <f>F14-F15</f>
        <v>162.39999999999998</v>
      </c>
      <c r="N15" s="10">
        <f>M15-G15</f>
        <v>114.93999999999997</v>
      </c>
      <c r="O15" s="10">
        <f>H15/M15</f>
        <v>46.188423645320206</v>
      </c>
      <c r="Q15" s="10">
        <f>D15/(E15+N15)</f>
        <v>0.35183319595811585</v>
      </c>
      <c r="R15" s="10">
        <f>Q15/O15</f>
        <v>7.6173458237032404E-3</v>
      </c>
      <c r="S15" s="10">
        <f>H15/D15</f>
        <v>32.542299349240778</v>
      </c>
      <c r="T15" s="125"/>
      <c r="U15" s="125">
        <f>N15/G15</f>
        <v>2.4218289085545717</v>
      </c>
      <c r="V15" s="125">
        <f>F15/M15</f>
        <v>2.7672413793103452</v>
      </c>
      <c r="W15" s="125"/>
      <c r="AG15" s="109"/>
    </row>
    <row r="16" spans="1:33" s="30" customFormat="1" x14ac:dyDescent="0.25">
      <c r="A16" s="46" t="s">
        <v>673</v>
      </c>
      <c r="B16" s="5" t="s">
        <v>668</v>
      </c>
      <c r="C16" s="5" t="s">
        <v>674</v>
      </c>
      <c r="D16" s="142">
        <v>230.6</v>
      </c>
      <c r="E16" s="142">
        <v>650</v>
      </c>
      <c r="F16" s="142">
        <v>590.70000000000005</v>
      </c>
      <c r="G16" s="142">
        <v>11.42</v>
      </c>
      <c r="H16" s="142">
        <v>7502</v>
      </c>
      <c r="I16" s="142">
        <v>8279</v>
      </c>
      <c r="J16" s="5">
        <v>9110</v>
      </c>
      <c r="K16" s="177">
        <f>(J16-J14)/J14</f>
        <v>3.5698044565711684E-2</v>
      </c>
      <c r="L16" s="176">
        <f>(F16-F14)/F14</f>
        <v>-3.4488394900294067E-2</v>
      </c>
      <c r="M16" s="167"/>
      <c r="P16" s="10">
        <f>F16/H16</f>
        <v>7.873900293255133E-2</v>
      </c>
      <c r="Q16" s="10"/>
      <c r="R16" s="10"/>
      <c r="S16" s="10"/>
      <c r="T16" s="125">
        <f>R15/(1/S15-R15)</f>
        <v>0.32958558266022647</v>
      </c>
      <c r="U16" s="125"/>
      <c r="V16" s="170"/>
      <c r="W16" s="125">
        <f>P16*O15</f>
        <v>3.636830424858791</v>
      </c>
      <c r="Z16" s="10"/>
      <c r="AE16" s="10"/>
      <c r="AF16" s="10"/>
      <c r="AG16" s="109"/>
    </row>
    <row r="17" spans="1:33" s="30" customFormat="1" x14ac:dyDescent="0.25">
      <c r="A17" s="46" t="s">
        <v>673</v>
      </c>
      <c r="B17" s="5" t="s">
        <v>669</v>
      </c>
      <c r="C17" s="5" t="s">
        <v>157</v>
      </c>
      <c r="D17" s="142">
        <v>210.1</v>
      </c>
      <c r="E17" s="142">
        <v>650</v>
      </c>
      <c r="F17" s="142">
        <v>614.79999999999995</v>
      </c>
      <c r="G17" s="142">
        <v>0</v>
      </c>
      <c r="H17" s="142">
        <v>0</v>
      </c>
      <c r="I17" s="142">
        <v>7543</v>
      </c>
      <c r="J17" s="5">
        <v>7974</v>
      </c>
      <c r="K17" s="176">
        <v>0</v>
      </c>
      <c r="L17" s="176">
        <v>0</v>
      </c>
      <c r="M17" s="167"/>
      <c r="T17" s="170"/>
      <c r="U17" s="125"/>
      <c r="V17" s="170"/>
      <c r="W17" s="170"/>
      <c r="Z17" s="10"/>
      <c r="AE17" s="10"/>
      <c r="AF17" s="10"/>
      <c r="AG17" s="109"/>
    </row>
    <row r="18" spans="1:33" s="30" customFormat="1" x14ac:dyDescent="0.25">
      <c r="A18" s="46" t="s">
        <v>673</v>
      </c>
      <c r="B18" s="5" t="s">
        <v>669</v>
      </c>
      <c r="C18" s="5" t="s">
        <v>179</v>
      </c>
      <c r="D18" s="142">
        <v>210.1</v>
      </c>
      <c r="E18" s="142">
        <v>550</v>
      </c>
      <c r="F18" s="142">
        <v>466.6</v>
      </c>
      <c r="G18" s="142">
        <v>43.24</v>
      </c>
      <c r="H18" s="142">
        <v>6835</v>
      </c>
      <c r="I18" s="142">
        <v>8914</v>
      </c>
      <c r="J18" s="5">
        <v>10510</v>
      </c>
      <c r="K18" s="176">
        <f>(J18-J17)/J17</f>
        <v>0.31803360922999752</v>
      </c>
      <c r="L18" s="176">
        <f>(F18-F17)/F17</f>
        <v>-0.24105400130123608</v>
      </c>
      <c r="M18" s="167">
        <f>F17-F18</f>
        <v>148.19999999999993</v>
      </c>
      <c r="N18" s="10">
        <f>M18-G18</f>
        <v>104.95999999999992</v>
      </c>
      <c r="O18" s="10">
        <f>H18/M18</f>
        <v>46.120107962213247</v>
      </c>
      <c r="Q18" s="10">
        <f>D18/(E18+N18)</f>
        <v>0.32078294857701234</v>
      </c>
      <c r="R18" s="10">
        <f>Q18/O18</f>
        <v>6.9553815624159776E-3</v>
      </c>
      <c r="S18" s="10">
        <f>H18/D18</f>
        <v>32.532127558305568</v>
      </c>
      <c r="T18" s="125"/>
      <c r="U18" s="125">
        <f>N18/G18</f>
        <v>2.4273820536540223</v>
      </c>
      <c r="V18" s="125">
        <f>F18/M18</f>
        <v>3.1484480431848869</v>
      </c>
      <c r="W18" s="170"/>
      <c r="Z18" s="10"/>
      <c r="AE18" s="10"/>
      <c r="AF18" s="10"/>
      <c r="AG18" s="109"/>
    </row>
    <row r="19" spans="1:33" s="30" customFormat="1" x14ac:dyDescent="0.25">
      <c r="A19" s="46" t="s">
        <v>673</v>
      </c>
      <c r="B19" s="5" t="s">
        <v>669</v>
      </c>
      <c r="C19" s="5" t="s">
        <v>674</v>
      </c>
      <c r="D19" s="142">
        <v>210.1</v>
      </c>
      <c r="E19" s="142">
        <v>650</v>
      </c>
      <c r="F19" s="142">
        <v>595.79999999999995</v>
      </c>
      <c r="G19" s="142">
        <v>10.199999999999999</v>
      </c>
      <c r="H19" s="142">
        <v>6835</v>
      </c>
      <c r="I19" s="142">
        <v>7543</v>
      </c>
      <c r="J19" s="5">
        <v>8229</v>
      </c>
      <c r="K19" s="177">
        <f>(J19-J17)/J17</f>
        <v>3.1978931527464262E-2</v>
      </c>
      <c r="L19" s="176">
        <f>(F19-F17)/F17</f>
        <v>-3.0904359141184126E-2</v>
      </c>
      <c r="M19" s="165"/>
      <c r="P19" s="10">
        <f>F19/H19</f>
        <v>8.7168983174835402E-2</v>
      </c>
      <c r="Q19" s="10"/>
      <c r="R19" s="10"/>
      <c r="S19" s="10"/>
      <c r="T19" s="125">
        <f>R18/(1/S18-R18)</f>
        <v>0.2924461283447784</v>
      </c>
      <c r="U19" s="125"/>
      <c r="V19" s="170"/>
      <c r="W19" s="125">
        <f>P19*O18</f>
        <v>4.0202429149797592</v>
      </c>
      <c r="Z19" s="10"/>
      <c r="AE19" s="10"/>
      <c r="AF19" s="10"/>
      <c r="AG19" s="109"/>
    </row>
    <row r="20" spans="1:33" s="30" customFormat="1" x14ac:dyDescent="0.25">
      <c r="A20" s="109"/>
      <c r="U20" s="10"/>
      <c r="Z20" s="10"/>
      <c r="AE20" s="10"/>
      <c r="AF20" s="10"/>
      <c r="AG20" s="109"/>
    </row>
    <row r="21" spans="1:33" s="30" customFormat="1" ht="21" x14ac:dyDescent="0.35">
      <c r="A21" s="178" t="s">
        <v>704</v>
      </c>
      <c r="U21" s="10"/>
      <c r="Z21" s="10"/>
      <c r="AE21" s="10"/>
      <c r="AF21" s="10"/>
      <c r="AG21" s="109"/>
    </row>
    <row r="22" spans="1:33" s="30" customFormat="1" ht="90" x14ac:dyDescent="0.25">
      <c r="A22" s="4" t="s">
        <v>663</v>
      </c>
      <c r="B22" s="166" t="s">
        <v>670</v>
      </c>
      <c r="C22" s="166" t="s">
        <v>699</v>
      </c>
      <c r="D22" s="166" t="s">
        <v>693</v>
      </c>
      <c r="E22" s="166" t="s">
        <v>690</v>
      </c>
      <c r="F22" s="166" t="s">
        <v>695</v>
      </c>
      <c r="G22" s="166" t="s">
        <v>701</v>
      </c>
      <c r="H22" s="166" t="s">
        <v>700</v>
      </c>
      <c r="I22" s="166" t="s">
        <v>688</v>
      </c>
      <c r="J22" s="166" t="s">
        <v>684</v>
      </c>
      <c r="K22" s="166" t="s">
        <v>702</v>
      </c>
      <c r="L22" s="166" t="s">
        <v>703</v>
      </c>
      <c r="U22" s="10"/>
      <c r="Z22" s="10"/>
      <c r="AE22" s="10"/>
      <c r="AF22" s="10"/>
      <c r="AG22" s="109"/>
    </row>
    <row r="23" spans="1:33" s="30" customFormat="1" x14ac:dyDescent="0.25">
      <c r="A23" s="1" t="s">
        <v>672</v>
      </c>
      <c r="B23" s="1" t="s">
        <v>667</v>
      </c>
      <c r="C23" s="172">
        <f>T4</f>
        <v>0.41314452491622533</v>
      </c>
      <c r="D23" s="172">
        <f>U3</f>
        <v>2.5032080659945009</v>
      </c>
      <c r="E23" s="172">
        <f>V3</f>
        <v>2.1527995813710095</v>
      </c>
      <c r="F23" s="172">
        <f>W4</f>
        <v>3.0216276477146038</v>
      </c>
      <c r="G23" s="2">
        <f>J3</f>
        <v>14360</v>
      </c>
      <c r="H23" s="2">
        <f>J2</f>
        <v>9807</v>
      </c>
      <c r="I23" s="175">
        <f>K3</f>
        <v>0.46426022229020086</v>
      </c>
      <c r="J23" s="175">
        <f>L3</f>
        <v>-0.31717842323651457</v>
      </c>
      <c r="K23" s="175">
        <f>K4</f>
        <v>4.3132456408687674E-2</v>
      </c>
      <c r="L23" s="175">
        <f>L4</f>
        <v>-4.1493775933609957E-2</v>
      </c>
      <c r="U23" s="10"/>
      <c r="Z23" s="10"/>
      <c r="AE23" s="10"/>
      <c r="AF23" s="10"/>
      <c r="AG23" s="109"/>
    </row>
    <row r="24" spans="1:33" s="30" customFormat="1" x14ac:dyDescent="0.25">
      <c r="A24" s="1" t="s">
        <v>672</v>
      </c>
      <c r="B24" s="1" t="s">
        <v>668</v>
      </c>
      <c r="C24" s="172">
        <f>T7</f>
        <v>0.36263484048657324</v>
      </c>
      <c r="D24" s="172">
        <f>U6</f>
        <v>2.3727925480302727</v>
      </c>
      <c r="E24" s="172">
        <f>V6</f>
        <v>2.4827387802071352</v>
      </c>
      <c r="F24" s="172">
        <f>W7</f>
        <v>3.357307249712314</v>
      </c>
      <c r="G24" s="2">
        <f>J6</f>
        <v>12930</v>
      </c>
      <c r="H24" s="2">
        <f>J5</f>
        <v>9222</v>
      </c>
      <c r="I24" s="175">
        <f>K6</f>
        <v>0.40208197787898503</v>
      </c>
      <c r="J24" s="175">
        <f>L6</f>
        <v>-0.28713034858747721</v>
      </c>
      <c r="K24" s="175">
        <f>K7</f>
        <v>3.7410540013012361E-2</v>
      </c>
      <c r="L24" s="175">
        <f>L7</f>
        <v>-3.6015199074838848E-2</v>
      </c>
      <c r="U24" s="10"/>
      <c r="Z24" s="10"/>
      <c r="AE24" s="10"/>
      <c r="AF24" s="10"/>
      <c r="AG24" s="109"/>
    </row>
    <row r="25" spans="1:33" x14ac:dyDescent="0.25">
      <c r="A25" s="1" t="s">
        <v>672</v>
      </c>
      <c r="B25" s="1" t="s">
        <v>669</v>
      </c>
      <c r="C25" s="172">
        <f>T10</f>
        <v>0.32116493073111541</v>
      </c>
      <c r="D25" s="172">
        <f>U9</f>
        <v>2.3823216187433438</v>
      </c>
      <c r="E25" s="172">
        <f>V9</f>
        <v>2.8350125944584379</v>
      </c>
      <c r="F25" s="172">
        <f>W10</f>
        <v>3.7104573193075212</v>
      </c>
      <c r="G25" s="173">
        <f>J9</f>
        <v>11300</v>
      </c>
      <c r="H25" s="173">
        <f>J8</f>
        <v>8352</v>
      </c>
      <c r="I25" s="174">
        <f>K9</f>
        <v>0.35296934865900381</v>
      </c>
      <c r="J25" s="174">
        <f>L9</f>
        <v>-0.26075533661740558</v>
      </c>
      <c r="K25" s="174">
        <f>K10</f>
        <v>3.3405172413793101E-2</v>
      </c>
      <c r="L25" s="174">
        <f>L10</f>
        <v>-3.2348111658456559E-2</v>
      </c>
      <c r="M25" s="30"/>
      <c r="N25" s="30"/>
      <c r="O25" s="30"/>
      <c r="U25" s="30"/>
      <c r="AF25" s="81"/>
      <c r="AG25" s="81"/>
    </row>
    <row r="26" spans="1:33" x14ac:dyDescent="0.25">
      <c r="A26" s="1" t="s">
        <v>673</v>
      </c>
      <c r="B26" s="1" t="s">
        <v>667</v>
      </c>
      <c r="C26" s="172">
        <f>T13</f>
        <v>0.37358127067889596</v>
      </c>
      <c r="D26" s="172">
        <f>U12</f>
        <v>2.5495423796259451</v>
      </c>
      <c r="E26" s="172">
        <f>V12</f>
        <v>2.415919282511211</v>
      </c>
      <c r="F26" s="172">
        <f>W13</f>
        <v>3.2826297983502779</v>
      </c>
      <c r="G26" s="1">
        <f>J12</f>
        <v>13220</v>
      </c>
      <c r="H26" s="1">
        <f>J11</f>
        <v>9348</v>
      </c>
      <c r="I26" s="174">
        <f>K12</f>
        <v>0.41420624732563116</v>
      </c>
      <c r="J26" s="174">
        <f>L12</f>
        <v>-0.29274696422710861</v>
      </c>
      <c r="K26" s="174">
        <f>K13</f>
        <v>4.0864356011981171E-2</v>
      </c>
      <c r="L26" s="174">
        <f>L13</f>
        <v>-3.938299967180834E-2</v>
      </c>
    </row>
    <row r="27" spans="1:33" x14ac:dyDescent="0.25">
      <c r="A27" s="1" t="s">
        <v>673</v>
      </c>
      <c r="B27" s="1" t="s">
        <v>668</v>
      </c>
      <c r="C27" s="172">
        <f>T16</f>
        <v>0.32958558266022647</v>
      </c>
      <c r="D27" s="172">
        <f>U15</f>
        <v>2.4218289085545717</v>
      </c>
      <c r="E27" s="172">
        <f>V15</f>
        <v>2.7672413793103452</v>
      </c>
      <c r="F27" s="172">
        <f>W16</f>
        <v>3.636830424858791</v>
      </c>
      <c r="G27" s="1">
        <f>J15</f>
        <v>11970</v>
      </c>
      <c r="H27" s="1">
        <f>J14</f>
        <v>8796</v>
      </c>
      <c r="I27" s="174">
        <f>K15</f>
        <v>0.36084583901773531</v>
      </c>
      <c r="J27" s="174">
        <f>L15</f>
        <v>-0.26544622425629288</v>
      </c>
      <c r="K27" s="174">
        <f>K16</f>
        <v>3.5698044565711684E-2</v>
      </c>
      <c r="L27" s="174">
        <f>L16</f>
        <v>-3.4488394900294067E-2</v>
      </c>
    </row>
    <row r="28" spans="1:33" x14ac:dyDescent="0.25">
      <c r="A28" s="1" t="s">
        <v>673</v>
      </c>
      <c r="B28" s="1" t="s">
        <v>669</v>
      </c>
      <c r="C28" s="172">
        <f>T19</f>
        <v>0.2924461283447784</v>
      </c>
      <c r="D28" s="172">
        <f>U18</f>
        <v>2.4273820536540223</v>
      </c>
      <c r="E28" s="172">
        <f>V18</f>
        <v>3.1484480431848869</v>
      </c>
      <c r="F28" s="172">
        <f>W19</f>
        <v>4.0202429149797592</v>
      </c>
      <c r="G28" s="1">
        <f>J18</f>
        <v>10510</v>
      </c>
      <c r="H28" s="1">
        <f>J17</f>
        <v>7974</v>
      </c>
      <c r="I28" s="174">
        <f>K18</f>
        <v>0.31803360922999752</v>
      </c>
      <c r="J28" s="174">
        <f>L18</f>
        <v>-0.24105400130123608</v>
      </c>
      <c r="K28" s="174">
        <f>K19</f>
        <v>3.1978931527464262E-2</v>
      </c>
      <c r="L28" s="174">
        <f>L19</f>
        <v>-3.0904359141184126E-2</v>
      </c>
    </row>
    <row r="30" spans="1:33" x14ac:dyDescent="0.25">
      <c r="A30" s="171"/>
      <c r="B30" s="171"/>
      <c r="C30" s="171"/>
      <c r="D30" s="171"/>
      <c r="E30" s="171"/>
    </row>
    <row r="32" spans="1:33" x14ac:dyDescent="0.25">
      <c r="H32" s="81"/>
    </row>
    <row r="35" spans="1:14" x14ac:dyDescent="0.25">
      <c r="A35" s="81"/>
    </row>
    <row r="37" spans="1:14" x14ac:dyDescent="0.25">
      <c r="A37" s="168"/>
    </row>
    <row r="38" spans="1:14" x14ac:dyDescent="0.25">
      <c r="A38" s="122"/>
    </row>
    <row r="43" spans="1:14" x14ac:dyDescent="0.25">
      <c r="A43" s="81"/>
    </row>
    <row r="44" spans="1:14" ht="15" customHeight="1" x14ac:dyDescent="0.25"/>
    <row r="45" spans="1:14" ht="15" customHeight="1" x14ac:dyDescent="0.25">
      <c r="L45" s="101"/>
      <c r="M45" s="102"/>
      <c r="N45" s="102"/>
    </row>
    <row r="46" spans="1:14" ht="15" customHeight="1" x14ac:dyDescent="0.25">
      <c r="L46" s="101"/>
      <c r="M46" s="102"/>
      <c r="N46" s="102"/>
    </row>
    <row r="47" spans="1:14" ht="15" customHeight="1" x14ac:dyDescent="0.25">
      <c r="L47" s="101"/>
      <c r="M47" s="102"/>
      <c r="N47" s="102"/>
    </row>
    <row r="48" spans="1:14" ht="15" customHeight="1" x14ac:dyDescent="0.25">
      <c r="L48" s="101"/>
      <c r="M48" s="102"/>
      <c r="N48" s="102"/>
    </row>
    <row r="49" spans="1:14" ht="15" customHeight="1" x14ac:dyDescent="0.25">
      <c r="A49" s="122"/>
      <c r="L49" s="101"/>
      <c r="M49" s="102"/>
      <c r="N49" s="102"/>
    </row>
    <row r="50" spans="1:14" ht="15" customHeight="1" x14ac:dyDescent="0.25">
      <c r="L50" s="101"/>
      <c r="M50" s="102"/>
      <c r="N50" s="102"/>
    </row>
    <row r="51" spans="1:14" x14ac:dyDescent="0.25">
      <c r="L51" s="103"/>
    </row>
    <row r="52" spans="1:14" x14ac:dyDescent="0.25">
      <c r="A52" s="81"/>
      <c r="L52" s="103"/>
    </row>
    <row r="53" spans="1:14" x14ac:dyDescent="0.25">
      <c r="L53" s="102"/>
    </row>
    <row r="54" spans="1:14" x14ac:dyDescent="0.25">
      <c r="L54" s="102"/>
    </row>
    <row r="55" spans="1:14" x14ac:dyDescent="0.25">
      <c r="L55" s="102"/>
    </row>
    <row r="56" spans="1:14" x14ac:dyDescent="0.25">
      <c r="A56" s="122"/>
    </row>
    <row r="57" spans="1:14" x14ac:dyDescent="0.25">
      <c r="B57" s="30"/>
    </row>
    <row r="58" spans="1:14" x14ac:dyDescent="0.25">
      <c r="B58" s="164"/>
      <c r="C58" s="164"/>
    </row>
    <row r="59" spans="1:14" x14ac:dyDescent="0.25">
      <c r="A59" s="169"/>
      <c r="B59" s="164"/>
      <c r="C59" s="164"/>
    </row>
    <row r="60" spans="1:14" x14ac:dyDescent="0.25">
      <c r="B60" s="164"/>
    </row>
    <row r="61" spans="1:14" x14ac:dyDescent="0.25">
      <c r="C61" s="169"/>
    </row>
    <row r="62" spans="1:14" x14ac:dyDescent="0.25">
      <c r="B62" s="30"/>
    </row>
    <row r="63" spans="1:14" x14ac:dyDescent="0.25">
      <c r="A63" s="120"/>
      <c r="B63" s="30"/>
    </row>
    <row r="64" spans="1:14" x14ac:dyDescent="0.25">
      <c r="B64" s="30"/>
    </row>
    <row r="65" spans="1:3" x14ac:dyDescent="0.25">
      <c r="B65" s="30"/>
    </row>
    <row r="66" spans="1:3" x14ac:dyDescent="0.25">
      <c r="B66" s="164"/>
    </row>
    <row r="67" spans="1:3" x14ac:dyDescent="0.25">
      <c r="B67" s="30"/>
    </row>
    <row r="68" spans="1:3" x14ac:dyDescent="0.25">
      <c r="B68" s="30"/>
    </row>
    <row r="69" spans="1:3" x14ac:dyDescent="0.25">
      <c r="A69" s="109"/>
      <c r="B69" s="164"/>
    </row>
    <row r="70" spans="1:3" x14ac:dyDescent="0.25">
      <c r="B70" s="30"/>
    </row>
    <row r="71" spans="1:3" x14ac:dyDescent="0.25">
      <c r="A71" s="109"/>
      <c r="B71" s="164"/>
    </row>
    <row r="72" spans="1:3" x14ac:dyDescent="0.25">
      <c r="B72" s="30"/>
    </row>
    <row r="73" spans="1:3" x14ac:dyDescent="0.25">
      <c r="A73" s="81"/>
      <c r="B73" s="164"/>
    </row>
    <row r="74" spans="1:3" x14ac:dyDescent="0.25">
      <c r="C74" s="164"/>
    </row>
    <row r="75" spans="1:3" x14ac:dyDescent="0.25">
      <c r="A75" s="100"/>
      <c r="B75" s="100"/>
    </row>
    <row r="78" spans="1:3" x14ac:dyDescent="0.25">
      <c r="A78" s="168"/>
    </row>
    <row r="79" spans="1:3" x14ac:dyDescent="0.25">
      <c r="A79" s="122"/>
    </row>
    <row r="84" spans="1:1" x14ac:dyDescent="0.25">
      <c r="A84" s="81"/>
    </row>
    <row r="90" spans="1:1" x14ac:dyDescent="0.25">
      <c r="A90" s="122"/>
    </row>
    <row r="93" spans="1:1" x14ac:dyDescent="0.25">
      <c r="A93" s="81"/>
    </row>
    <row r="98" spans="1:3" x14ac:dyDescent="0.25">
      <c r="A98" s="122"/>
    </row>
    <row r="101" spans="1:3" x14ac:dyDescent="0.25">
      <c r="A101" s="169"/>
    </row>
    <row r="103" spans="1:3" x14ac:dyDescent="0.25">
      <c r="C103" s="169"/>
    </row>
    <row r="104" spans="1:3" x14ac:dyDescent="0.25">
      <c r="A104" s="120"/>
    </row>
    <row r="111" spans="1:3" x14ac:dyDescent="0.25">
      <c r="A111" s="81"/>
    </row>
    <row r="113" spans="1:1" x14ac:dyDescent="0.25">
      <c r="A113" s="109"/>
    </row>
    <row r="115" spans="1:1" x14ac:dyDescent="0.25">
      <c r="A115" s="81"/>
    </row>
    <row r="116" spans="1:1" x14ac:dyDescent="0.25">
      <c r="A116" s="100"/>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8"/>
  <sheetViews>
    <sheetView topLeftCell="A71" workbookViewId="0">
      <selection activeCell="L88" sqref="L88"/>
    </sheetView>
  </sheetViews>
  <sheetFormatPr defaultRowHeight="15" x14ac:dyDescent="0.25"/>
  <cols>
    <col min="1" max="1" width="29.28515625" customWidth="1"/>
    <col min="2" max="2" width="26.140625" customWidth="1"/>
    <col min="3" max="5" width="12.5703125" customWidth="1"/>
    <col min="15" max="15" width="19.28515625" customWidth="1"/>
    <col min="19" max="19" width="15.140625" customWidth="1"/>
    <col min="21" max="23" width="15.42578125" customWidth="1"/>
    <col min="24" max="24" width="15.85546875" customWidth="1"/>
    <col min="25" max="25" width="15.42578125" customWidth="1"/>
    <col min="26" max="26" width="13.140625" customWidth="1"/>
    <col min="27" max="27" width="21.28515625" customWidth="1"/>
    <col min="28" max="28" width="13.85546875" customWidth="1"/>
    <col min="29" max="29" width="28.42578125" customWidth="1"/>
    <col min="30" max="30" width="29.42578125" customWidth="1"/>
  </cols>
  <sheetData>
    <row r="1" spans="1:30" x14ac:dyDescent="0.25">
      <c r="A1" s="7" t="s">
        <v>482</v>
      </c>
      <c r="J1" s="23" t="s">
        <v>481</v>
      </c>
      <c r="K1" s="5"/>
      <c r="L1" s="5"/>
      <c r="M1" s="5"/>
      <c r="N1" s="5"/>
      <c r="O1" s="5"/>
      <c r="P1" s="5"/>
      <c r="Q1" s="5"/>
      <c r="R1" s="5"/>
    </row>
    <row r="2" spans="1:30" x14ac:dyDescent="0.25">
      <c r="A2" s="7" t="s">
        <v>483</v>
      </c>
      <c r="J2" s="23" t="s">
        <v>485</v>
      </c>
      <c r="K2" s="5"/>
      <c r="L2" s="5"/>
      <c r="M2" s="5"/>
      <c r="N2" s="5"/>
      <c r="O2" s="5"/>
      <c r="P2" s="5"/>
      <c r="Q2" s="5"/>
      <c r="R2" s="5"/>
    </row>
    <row r="3" spans="1:30" x14ac:dyDescent="0.25">
      <c r="A3" s="126" t="s">
        <v>152</v>
      </c>
      <c r="B3" s="127"/>
      <c r="C3" s="126" t="s">
        <v>160</v>
      </c>
      <c r="D3" s="127"/>
      <c r="E3" s="127"/>
      <c r="F3" s="127"/>
      <c r="G3" s="127"/>
      <c r="H3" s="127"/>
      <c r="I3" s="127"/>
      <c r="J3" s="23" t="s">
        <v>486</v>
      </c>
      <c r="K3" s="5"/>
      <c r="L3" s="5"/>
      <c r="M3" s="5"/>
      <c r="N3" s="5"/>
      <c r="O3" s="5"/>
      <c r="P3" s="5"/>
      <c r="Q3" s="5"/>
      <c r="R3" s="5"/>
      <c r="U3" s="11" t="s">
        <v>202</v>
      </c>
      <c r="V3" s="13"/>
      <c r="W3" s="13"/>
      <c r="X3" s="13"/>
      <c r="Y3" s="13"/>
      <c r="Z3" s="13"/>
      <c r="AA3" s="13"/>
      <c r="AB3" s="13"/>
      <c r="AC3" s="13"/>
      <c r="AD3" s="13"/>
    </row>
    <row r="4" spans="1:30" x14ac:dyDescent="0.25">
      <c r="A4" s="126" t="s">
        <v>153</v>
      </c>
      <c r="B4" s="127"/>
      <c r="C4" s="128" t="s">
        <v>161</v>
      </c>
      <c r="D4" s="127"/>
      <c r="E4" s="127"/>
      <c r="F4" s="127"/>
      <c r="G4" s="127"/>
      <c r="H4" s="127"/>
      <c r="I4" s="127"/>
      <c r="J4" s="5"/>
      <c r="K4" s="5"/>
      <c r="L4" s="5"/>
      <c r="M4" s="21" t="s">
        <v>168</v>
      </c>
      <c r="N4" s="5"/>
      <c r="O4" s="5"/>
      <c r="P4" s="5"/>
      <c r="Q4" s="5"/>
      <c r="R4" s="5"/>
      <c r="U4" s="13" t="s">
        <v>203</v>
      </c>
      <c r="V4" s="13"/>
      <c r="W4" s="13"/>
      <c r="X4" s="13"/>
      <c r="Y4" s="13"/>
      <c r="Z4" s="13"/>
      <c r="AA4" s="13"/>
      <c r="AB4" s="13"/>
      <c r="AC4" s="13"/>
      <c r="AD4" s="13"/>
    </row>
    <row r="5" spans="1:30" x14ac:dyDescent="0.25">
      <c r="A5" s="127" t="s">
        <v>146</v>
      </c>
      <c r="B5" s="127"/>
      <c r="C5" s="127"/>
      <c r="D5" s="127"/>
      <c r="E5" s="127"/>
      <c r="F5" s="127"/>
      <c r="G5" s="127"/>
      <c r="H5" s="127"/>
      <c r="I5" s="127"/>
      <c r="J5" s="5"/>
      <c r="K5" s="5"/>
      <c r="L5" s="5"/>
      <c r="M5" s="5" t="s">
        <v>173</v>
      </c>
      <c r="N5" s="5"/>
      <c r="O5" s="5"/>
      <c r="P5" s="5"/>
      <c r="Q5" s="5"/>
      <c r="R5" s="5"/>
      <c r="U5" s="13" t="s">
        <v>204</v>
      </c>
      <c r="V5" s="13"/>
      <c r="W5" s="13"/>
      <c r="X5" s="13"/>
      <c r="Y5" s="13"/>
      <c r="Z5" s="13"/>
      <c r="AA5" s="13"/>
      <c r="AB5" s="13"/>
      <c r="AC5" s="13"/>
      <c r="AD5" s="13"/>
    </row>
    <row r="6" spans="1:30" x14ac:dyDescent="0.25">
      <c r="A6" s="127" t="s">
        <v>147</v>
      </c>
      <c r="B6" s="127"/>
      <c r="C6" s="126" t="s">
        <v>162</v>
      </c>
      <c r="D6" s="127"/>
      <c r="E6" s="127"/>
      <c r="F6" s="127"/>
      <c r="G6" s="127"/>
      <c r="H6" s="127"/>
      <c r="I6" s="127"/>
      <c r="J6" s="5"/>
      <c r="K6" s="5"/>
      <c r="L6" s="5"/>
      <c r="M6" s="5" t="s">
        <v>170</v>
      </c>
      <c r="N6" s="5" t="s">
        <v>172</v>
      </c>
      <c r="O6" s="5" t="s">
        <v>171</v>
      </c>
      <c r="P6" s="5"/>
      <c r="Q6" s="5"/>
      <c r="R6" s="5"/>
      <c r="U6" s="13" t="s">
        <v>205</v>
      </c>
      <c r="V6" s="13"/>
      <c r="W6" s="13"/>
      <c r="X6" s="13"/>
      <c r="Y6" s="13"/>
      <c r="Z6" s="13"/>
      <c r="AA6" s="13"/>
      <c r="AB6" s="13"/>
      <c r="AC6" s="13"/>
      <c r="AD6" s="13"/>
    </row>
    <row r="7" spans="1:30" x14ac:dyDescent="0.25">
      <c r="A7" s="127" t="s">
        <v>148</v>
      </c>
      <c r="B7" s="127"/>
      <c r="C7" s="127" t="s">
        <v>177</v>
      </c>
      <c r="D7" s="127"/>
      <c r="E7" s="127"/>
      <c r="F7" s="127"/>
      <c r="G7" s="127"/>
      <c r="H7" s="127"/>
      <c r="I7" s="127"/>
      <c r="J7" s="5"/>
      <c r="K7" s="5"/>
      <c r="L7" s="5"/>
      <c r="M7" s="140" t="s">
        <v>169</v>
      </c>
      <c r="N7" s="5">
        <v>84.38</v>
      </c>
      <c r="O7" s="5">
        <v>8.4</v>
      </c>
      <c r="P7" s="5"/>
      <c r="Q7" s="5"/>
      <c r="R7" s="5"/>
      <c r="U7" s="13" t="s">
        <v>206</v>
      </c>
      <c r="V7" s="13"/>
      <c r="W7" s="13"/>
      <c r="X7" s="13"/>
      <c r="Y7" s="13"/>
      <c r="Z7" s="13"/>
      <c r="AA7" s="13"/>
      <c r="AB7" s="13"/>
      <c r="AC7" s="13"/>
      <c r="AD7" s="13"/>
    </row>
    <row r="8" spans="1:30" x14ac:dyDescent="0.25">
      <c r="A8" s="127" t="s">
        <v>149</v>
      </c>
      <c r="B8" s="127"/>
      <c r="C8" s="127" t="s">
        <v>175</v>
      </c>
      <c r="D8" s="127"/>
      <c r="E8" s="127"/>
      <c r="F8" s="127"/>
      <c r="G8" s="127"/>
      <c r="H8" s="127"/>
      <c r="I8" s="127"/>
      <c r="J8" s="5"/>
      <c r="K8" s="5"/>
      <c r="L8" s="5"/>
      <c r="M8" s="140" t="s">
        <v>164</v>
      </c>
      <c r="N8" s="5">
        <v>1523</v>
      </c>
      <c r="O8" s="141">
        <v>0.01</v>
      </c>
      <c r="P8" s="5"/>
      <c r="Q8" s="5"/>
      <c r="R8" s="5"/>
      <c r="U8" s="13" t="s">
        <v>207</v>
      </c>
      <c r="V8" s="13"/>
      <c r="W8" s="13"/>
      <c r="X8" s="13"/>
      <c r="Y8" s="13"/>
      <c r="Z8" s="13"/>
      <c r="AA8" s="13"/>
      <c r="AB8" s="13"/>
      <c r="AC8" s="13"/>
      <c r="AD8" s="13"/>
    </row>
    <row r="9" spans="1:30" x14ac:dyDescent="0.25">
      <c r="A9" s="127" t="s">
        <v>150</v>
      </c>
      <c r="B9" s="127"/>
      <c r="C9" s="127"/>
      <c r="D9" s="127" t="s">
        <v>176</v>
      </c>
      <c r="E9" s="127"/>
      <c r="F9" s="127"/>
      <c r="G9" s="127"/>
      <c r="H9" s="127"/>
      <c r="I9" s="127"/>
      <c r="J9" s="5"/>
      <c r="K9" s="5"/>
      <c r="L9" s="5"/>
      <c r="M9" s="140" t="s">
        <v>165</v>
      </c>
      <c r="N9" s="5">
        <v>7.1589999999999998</v>
      </c>
      <c r="O9" s="5">
        <v>0.7</v>
      </c>
      <c r="P9" s="5"/>
      <c r="Q9" s="5"/>
      <c r="R9" s="5"/>
      <c r="U9" s="13"/>
      <c r="V9" s="13"/>
      <c r="W9" s="13"/>
      <c r="X9" s="13"/>
      <c r="Y9" s="13"/>
      <c r="Z9" s="13"/>
      <c r="AA9" s="13"/>
      <c r="AB9" s="13"/>
      <c r="AC9" s="13"/>
      <c r="AD9" s="13"/>
    </row>
    <row r="10" spans="1:30" x14ac:dyDescent="0.25">
      <c r="A10" s="127" t="s">
        <v>151</v>
      </c>
      <c r="B10" s="127"/>
      <c r="C10" s="127"/>
      <c r="D10" s="127"/>
      <c r="E10" s="127"/>
      <c r="F10" s="127"/>
      <c r="G10" s="127"/>
      <c r="H10" s="127"/>
      <c r="I10" s="127"/>
      <c r="J10" s="5"/>
      <c r="K10" s="5"/>
      <c r="L10" s="5"/>
      <c r="M10" s="141"/>
      <c r="N10" s="5"/>
      <c r="O10" s="5"/>
      <c r="P10" s="5"/>
      <c r="Q10" s="5"/>
      <c r="R10" s="5"/>
      <c r="U10" s="13" t="s">
        <v>208</v>
      </c>
      <c r="V10" s="13"/>
      <c r="W10" s="13"/>
      <c r="X10" s="13"/>
      <c r="Y10" s="13"/>
      <c r="Z10" s="13"/>
      <c r="AA10" s="13"/>
      <c r="AB10" s="13"/>
      <c r="AC10" s="13"/>
      <c r="AD10" s="13"/>
    </row>
    <row r="11" spans="1:30" x14ac:dyDescent="0.25">
      <c r="A11" s="127" t="s">
        <v>575</v>
      </c>
      <c r="B11" s="127"/>
      <c r="C11" s="127"/>
      <c r="D11" s="127"/>
      <c r="E11" s="127"/>
      <c r="F11" s="127"/>
      <c r="G11" s="127"/>
      <c r="H11" s="127"/>
      <c r="I11" s="127"/>
      <c r="J11" s="5"/>
      <c r="K11" s="5"/>
      <c r="L11" s="5"/>
      <c r="M11" s="5" t="s">
        <v>174</v>
      </c>
      <c r="N11" s="5"/>
      <c r="O11" s="5"/>
      <c r="P11" s="5"/>
      <c r="Q11" s="5"/>
      <c r="R11" s="5"/>
      <c r="U11" s="13"/>
      <c r="V11" s="13"/>
      <c r="W11" s="13"/>
      <c r="X11" s="13"/>
      <c r="Y11" s="13"/>
      <c r="Z11" s="13"/>
      <c r="AA11" s="13"/>
      <c r="AB11" s="13"/>
      <c r="AC11" s="13"/>
      <c r="AD11" s="13"/>
    </row>
    <row r="12" spans="1:30" s="9" customFormat="1" ht="45" x14ac:dyDescent="0.25">
      <c r="A12" s="126" t="s">
        <v>154</v>
      </c>
      <c r="B12" s="129"/>
      <c r="C12" s="129"/>
      <c r="D12" s="129"/>
      <c r="E12" s="129"/>
      <c r="F12" s="129"/>
      <c r="G12" s="129"/>
      <c r="H12" s="129"/>
      <c r="I12" s="129"/>
      <c r="J12" s="142"/>
      <c r="K12" s="142"/>
      <c r="L12" s="142"/>
      <c r="M12" s="142" t="s">
        <v>170</v>
      </c>
      <c r="N12" s="142" t="s">
        <v>172</v>
      </c>
      <c r="O12" s="142" t="s">
        <v>171</v>
      </c>
      <c r="P12" s="142"/>
      <c r="Q12" s="142"/>
      <c r="R12" s="142"/>
      <c r="U12" s="32" t="s">
        <v>216</v>
      </c>
      <c r="V12" s="32" t="s">
        <v>217</v>
      </c>
      <c r="W12" s="32" t="s">
        <v>209</v>
      </c>
      <c r="X12" s="32" t="s">
        <v>210</v>
      </c>
      <c r="Y12" s="32" t="s">
        <v>211</v>
      </c>
      <c r="Z12" s="32" t="s">
        <v>212</v>
      </c>
      <c r="AA12" s="32" t="s">
        <v>213</v>
      </c>
      <c r="AB12" s="32" t="s">
        <v>215</v>
      </c>
      <c r="AC12" s="32" t="s">
        <v>214</v>
      </c>
      <c r="AD12" s="143" t="s">
        <v>218</v>
      </c>
    </row>
    <row r="13" spans="1:30" x14ac:dyDescent="0.25">
      <c r="A13" s="129" t="s">
        <v>158</v>
      </c>
      <c r="B13" s="127"/>
      <c r="C13" s="127"/>
      <c r="D13" s="127"/>
      <c r="E13" s="127"/>
      <c r="F13" s="127"/>
      <c r="G13" s="127"/>
      <c r="H13" s="127"/>
      <c r="I13" s="127"/>
      <c r="J13" s="5"/>
      <c r="K13" s="5"/>
      <c r="L13" s="5"/>
      <c r="M13" s="140" t="s">
        <v>169</v>
      </c>
      <c r="N13" s="5">
        <v>84.38</v>
      </c>
      <c r="O13" s="5">
        <v>8.4</v>
      </c>
      <c r="P13" s="5"/>
      <c r="Q13" s="5"/>
      <c r="R13" s="5"/>
      <c r="U13" s="13">
        <v>650</v>
      </c>
      <c r="V13" s="13">
        <v>613.70000000000005</v>
      </c>
      <c r="W13" s="13">
        <v>203.4</v>
      </c>
      <c r="X13" s="13">
        <v>203.4</v>
      </c>
      <c r="Y13" s="13">
        <v>514.4</v>
      </c>
      <c r="Z13" s="13">
        <v>455</v>
      </c>
      <c r="AA13" s="13">
        <v>46.53</v>
      </c>
      <c r="AB13" s="13">
        <f>V13-Z13</f>
        <v>158.70000000000005</v>
      </c>
      <c r="AC13" s="13">
        <f>AB13-AA13</f>
        <v>112.17000000000004</v>
      </c>
      <c r="AD13" s="14">
        <f>AC13/AA13</f>
        <v>2.4107027724049011</v>
      </c>
    </row>
    <row r="14" spans="1:30" x14ac:dyDescent="0.25">
      <c r="A14" s="127" t="s">
        <v>159</v>
      </c>
      <c r="B14" s="127"/>
      <c r="C14" s="127"/>
      <c r="D14" s="127"/>
      <c r="E14" s="127"/>
      <c r="F14" s="127"/>
      <c r="G14" s="127"/>
      <c r="H14" s="127"/>
      <c r="I14" s="127"/>
      <c r="J14" s="5"/>
      <c r="K14" s="5"/>
      <c r="L14" s="5"/>
      <c r="M14" s="140" t="s">
        <v>164</v>
      </c>
      <c r="N14" s="5">
        <v>1514</v>
      </c>
      <c r="O14" s="141">
        <v>0.01</v>
      </c>
      <c r="P14" s="5"/>
      <c r="Q14" s="5"/>
      <c r="R14" s="5"/>
      <c r="U14" s="13">
        <v>500</v>
      </c>
      <c r="V14" s="13">
        <v>471.9</v>
      </c>
      <c r="W14" s="13">
        <v>156.5</v>
      </c>
      <c r="X14" s="13">
        <v>156.5</v>
      </c>
      <c r="Y14" s="13">
        <v>416.4</v>
      </c>
      <c r="Z14" s="13">
        <v>349.7</v>
      </c>
      <c r="AA14" s="13">
        <v>35.79</v>
      </c>
      <c r="AB14" s="13">
        <f>V14-Z14</f>
        <v>122.19999999999999</v>
      </c>
      <c r="AC14" s="13">
        <f>AB14-AA14</f>
        <v>86.41</v>
      </c>
      <c r="AD14" s="14">
        <f>AC14/AA14</f>
        <v>2.4143615535065659</v>
      </c>
    </row>
    <row r="15" spans="1:30" s="9" customFormat="1" x14ac:dyDescent="0.25">
      <c r="A15" s="129"/>
      <c r="B15" s="129"/>
      <c r="C15" s="129"/>
      <c r="D15" s="129"/>
      <c r="E15" s="129"/>
      <c r="F15" s="129"/>
      <c r="G15" s="129"/>
      <c r="H15" s="129"/>
      <c r="I15" s="129"/>
      <c r="J15" s="5"/>
      <c r="K15" s="5"/>
      <c r="L15" s="5"/>
      <c r="M15" s="140" t="s">
        <v>165</v>
      </c>
      <c r="N15" s="5">
        <v>7.9279999999999999</v>
      </c>
      <c r="O15" s="5">
        <v>0.8</v>
      </c>
      <c r="P15" s="5"/>
      <c r="Q15" s="5"/>
      <c r="R15" s="5"/>
      <c r="U15" s="32">
        <v>400</v>
      </c>
      <c r="V15" s="32">
        <v>377.3</v>
      </c>
      <c r="W15" s="13">
        <v>125.2</v>
      </c>
      <c r="X15" s="32">
        <v>125.2</v>
      </c>
      <c r="Y15" s="32">
        <v>333.1</v>
      </c>
      <c r="Z15" s="32">
        <v>279.60000000000002</v>
      </c>
      <c r="AA15" s="32">
        <v>28.63</v>
      </c>
      <c r="AB15" s="13">
        <f>V15-Z15</f>
        <v>97.699999999999989</v>
      </c>
      <c r="AC15" s="13">
        <f>AB15-AA15</f>
        <v>69.069999999999993</v>
      </c>
      <c r="AD15" s="14">
        <f>AC15/AA15</f>
        <v>2.4125043660495979</v>
      </c>
    </row>
    <row r="16" spans="1:30" ht="60" x14ac:dyDescent="0.25">
      <c r="A16" s="130" t="s">
        <v>155</v>
      </c>
      <c r="B16" s="130" t="s">
        <v>156</v>
      </c>
      <c r="C16" s="130" t="s">
        <v>33</v>
      </c>
      <c r="D16" s="130" t="s">
        <v>34</v>
      </c>
      <c r="E16" s="130" t="s">
        <v>39</v>
      </c>
      <c r="F16" s="130" t="s">
        <v>127</v>
      </c>
      <c r="G16" s="130"/>
      <c r="H16" s="127"/>
      <c r="I16" s="127"/>
      <c r="J16" s="5"/>
      <c r="K16" s="5"/>
      <c r="L16" s="5"/>
      <c r="M16" s="142"/>
      <c r="N16" s="142"/>
      <c r="O16" s="142"/>
      <c r="P16" s="5"/>
      <c r="Q16" s="5"/>
      <c r="R16" s="142"/>
      <c r="U16" s="13"/>
      <c r="V16" s="13"/>
      <c r="W16" s="13"/>
      <c r="X16" s="13"/>
      <c r="Y16" s="13"/>
      <c r="Z16" s="13"/>
      <c r="AA16" s="13"/>
      <c r="AB16" s="13"/>
      <c r="AC16" s="11" t="s">
        <v>484</v>
      </c>
      <c r="AD16" s="22">
        <f>AVERAGE(AD13:AD15)</f>
        <v>2.412522897320355</v>
      </c>
    </row>
    <row r="17" spans="1:12" x14ac:dyDescent="0.25">
      <c r="A17" s="179" t="s">
        <v>178</v>
      </c>
      <c r="B17" s="179"/>
      <c r="C17" s="179"/>
      <c r="D17" s="179"/>
      <c r="E17" s="179"/>
      <c r="F17" s="127"/>
      <c r="G17" s="127"/>
      <c r="H17" s="127"/>
      <c r="I17" s="127"/>
      <c r="J17" s="127"/>
      <c r="K17" s="127"/>
      <c r="L17" s="59"/>
    </row>
    <row r="18" spans="1:12" x14ac:dyDescent="0.25">
      <c r="A18" s="127" t="s">
        <v>157</v>
      </c>
      <c r="B18" s="127">
        <v>334.6</v>
      </c>
      <c r="C18" s="127">
        <v>650</v>
      </c>
      <c r="D18" s="127">
        <v>605.29999999999995</v>
      </c>
      <c r="E18" s="127">
        <v>0</v>
      </c>
      <c r="F18" s="127">
        <v>0</v>
      </c>
      <c r="G18" s="127"/>
      <c r="H18" s="127" t="s">
        <v>488</v>
      </c>
      <c r="I18" s="127"/>
      <c r="J18" s="127"/>
      <c r="K18" s="127"/>
      <c r="L18" s="59"/>
    </row>
    <row r="19" spans="1:12" x14ac:dyDescent="0.25">
      <c r="A19" s="127" t="s">
        <v>179</v>
      </c>
      <c r="B19" s="127">
        <v>334.6</v>
      </c>
      <c r="C19" s="127">
        <v>530.79999999999995</v>
      </c>
      <c r="D19" s="127">
        <v>431.5</v>
      </c>
      <c r="E19" s="127">
        <v>51.53</v>
      </c>
      <c r="F19" s="127">
        <v>8147</v>
      </c>
      <c r="G19" s="127"/>
      <c r="H19" s="22">
        <f>(D18-D19)/D18</f>
        <v>0.28713034858747721</v>
      </c>
      <c r="I19" s="127"/>
      <c r="J19" s="127"/>
      <c r="K19" s="127"/>
    </row>
    <row r="20" spans="1:12" x14ac:dyDescent="0.25">
      <c r="A20" s="127" t="s">
        <v>487</v>
      </c>
      <c r="B20" s="127">
        <v>334.6</v>
      </c>
      <c r="C20" s="127">
        <v>650</v>
      </c>
      <c r="D20" s="127">
        <v>590.9</v>
      </c>
      <c r="E20" s="127">
        <v>5.2</v>
      </c>
      <c r="F20" s="127">
        <v>8147</v>
      </c>
      <c r="G20" s="127"/>
      <c r="H20" s="127"/>
      <c r="I20" s="127"/>
      <c r="J20" s="127"/>
      <c r="K20" s="127"/>
    </row>
    <row r="21" spans="1:12" x14ac:dyDescent="0.25">
      <c r="A21" s="179" t="s">
        <v>181</v>
      </c>
      <c r="B21" s="179"/>
      <c r="C21" s="179"/>
      <c r="D21" s="179"/>
      <c r="E21" s="179"/>
      <c r="F21" s="127"/>
      <c r="G21" s="127"/>
      <c r="H21" s="127"/>
      <c r="I21" s="127"/>
      <c r="J21" s="127"/>
      <c r="K21" s="127"/>
    </row>
    <row r="22" spans="1:12" x14ac:dyDescent="0.25">
      <c r="A22" s="127" t="s">
        <v>157</v>
      </c>
      <c r="B22" s="127">
        <v>203.4</v>
      </c>
      <c r="C22" s="127">
        <v>650</v>
      </c>
      <c r="D22" s="127">
        <v>613.70000000000005</v>
      </c>
      <c r="E22" s="127">
        <v>0</v>
      </c>
      <c r="F22" s="127">
        <v>0</v>
      </c>
      <c r="G22" s="127"/>
      <c r="H22" s="127"/>
      <c r="I22" s="127"/>
      <c r="J22" s="127"/>
      <c r="K22" s="127"/>
    </row>
    <row r="23" spans="1:12" x14ac:dyDescent="0.25">
      <c r="A23" s="127" t="s">
        <v>179</v>
      </c>
      <c r="B23" s="127">
        <v>203.4</v>
      </c>
      <c r="C23" s="127">
        <v>541.4</v>
      </c>
      <c r="D23" s="127">
        <v>455</v>
      </c>
      <c r="E23" s="127">
        <v>46.53</v>
      </c>
      <c r="F23" s="127">
        <v>7431</v>
      </c>
      <c r="G23" s="127"/>
      <c r="H23" s="22">
        <f>(D22-D23)/D22</f>
        <v>0.25859540492097122</v>
      </c>
      <c r="I23" s="127" t="s">
        <v>488</v>
      </c>
      <c r="J23" s="127"/>
      <c r="K23" s="127"/>
    </row>
    <row r="24" spans="1:12" x14ac:dyDescent="0.25">
      <c r="A24" s="127" t="s">
        <v>487</v>
      </c>
      <c r="B24" s="127">
        <v>203.4</v>
      </c>
      <c r="C24" s="127">
        <v>650</v>
      </c>
      <c r="D24" s="127">
        <v>601.4</v>
      </c>
      <c r="E24" s="127">
        <v>4.55</v>
      </c>
      <c r="F24" s="127">
        <v>7431</v>
      </c>
      <c r="G24" s="127"/>
      <c r="H24" s="127">
        <v>8.6999999999999993</v>
      </c>
      <c r="I24" s="127" t="s">
        <v>637</v>
      </c>
      <c r="J24" s="127"/>
      <c r="K24" s="127"/>
    </row>
    <row r="25" spans="1:12" x14ac:dyDescent="0.25">
      <c r="A25" s="127"/>
      <c r="B25" s="127"/>
      <c r="C25" s="127"/>
      <c r="D25" s="127"/>
      <c r="E25" s="127"/>
      <c r="F25" s="127"/>
      <c r="G25" s="127"/>
      <c r="H25" s="127">
        <v>8.1999999999999993</v>
      </c>
      <c r="I25" s="127" t="s">
        <v>638</v>
      </c>
      <c r="J25" s="127"/>
      <c r="K25" s="127"/>
    </row>
    <row r="26" spans="1:12" x14ac:dyDescent="0.25">
      <c r="A26" s="126" t="s">
        <v>182</v>
      </c>
      <c r="B26" s="127"/>
      <c r="C26" s="127"/>
      <c r="D26" s="127"/>
      <c r="E26" s="127"/>
      <c r="F26" s="127"/>
      <c r="G26" s="127"/>
      <c r="H26" s="127">
        <v>11.7</v>
      </c>
      <c r="I26" s="127" t="s">
        <v>636</v>
      </c>
      <c r="J26" s="127"/>
      <c r="K26" s="127"/>
    </row>
    <row r="27" spans="1:12" x14ac:dyDescent="0.25">
      <c r="A27" s="127" t="s">
        <v>183</v>
      </c>
      <c r="B27" s="127" t="s">
        <v>184</v>
      </c>
      <c r="C27" s="127" t="s">
        <v>185</v>
      </c>
      <c r="D27" s="127"/>
      <c r="E27" s="127"/>
      <c r="F27" s="127"/>
      <c r="G27" s="127"/>
      <c r="H27" s="127">
        <v>9.8000000000000007</v>
      </c>
      <c r="I27" s="127" t="s">
        <v>639</v>
      </c>
      <c r="J27" s="127"/>
      <c r="K27" s="127"/>
    </row>
    <row r="28" spans="1:12" x14ac:dyDescent="0.25">
      <c r="A28" s="131" t="s">
        <v>178</v>
      </c>
      <c r="B28" s="127"/>
      <c r="C28" s="127"/>
      <c r="D28" s="127"/>
      <c r="E28" s="127"/>
      <c r="F28" s="127"/>
      <c r="G28" s="127"/>
      <c r="H28" s="127">
        <f>(H26-H24)/H24</f>
        <v>0.34482758620689657</v>
      </c>
      <c r="I28" s="127" t="s">
        <v>640</v>
      </c>
      <c r="J28" s="127"/>
      <c r="K28" s="127"/>
    </row>
    <row r="29" spans="1:12" x14ac:dyDescent="0.25">
      <c r="A29" s="132" t="s">
        <v>480</v>
      </c>
      <c r="B29" s="127"/>
      <c r="C29" s="127"/>
      <c r="D29" s="127"/>
      <c r="E29" s="127"/>
      <c r="F29" s="127"/>
      <c r="G29" s="127"/>
      <c r="H29" s="127"/>
      <c r="I29" s="127"/>
      <c r="J29" s="127"/>
      <c r="K29" s="127"/>
    </row>
    <row r="30" spans="1:12" x14ac:dyDescent="0.25">
      <c r="A30" s="127">
        <f>D18-D19</f>
        <v>173.79999999999995</v>
      </c>
      <c r="B30" s="127" t="s">
        <v>41</v>
      </c>
      <c r="C30" s="127" t="s">
        <v>197</v>
      </c>
      <c r="D30" s="127"/>
      <c r="E30" s="127"/>
      <c r="F30" s="127"/>
      <c r="G30" s="127"/>
      <c r="H30" s="127"/>
      <c r="I30" s="127"/>
      <c r="J30" s="127"/>
      <c r="K30" s="127"/>
    </row>
    <row r="31" spans="1:12" x14ac:dyDescent="0.25">
      <c r="A31" s="127">
        <f>F19/A30</f>
        <v>46.87571921749138</v>
      </c>
      <c r="B31" s="127" t="s">
        <v>135</v>
      </c>
      <c r="C31" s="127" t="s">
        <v>186</v>
      </c>
      <c r="D31" s="127"/>
      <c r="E31" s="127"/>
      <c r="F31" s="127"/>
      <c r="G31" s="127"/>
      <c r="H31" s="127"/>
      <c r="I31" s="127"/>
      <c r="J31" s="127"/>
      <c r="K31" s="127"/>
    </row>
    <row r="32" spans="1:12" x14ac:dyDescent="0.25">
      <c r="A32" s="127"/>
      <c r="B32" s="127"/>
      <c r="C32" s="127"/>
      <c r="D32" s="127" t="s">
        <v>187</v>
      </c>
      <c r="E32" s="127"/>
      <c r="F32" s="127"/>
      <c r="G32" s="127"/>
      <c r="H32" s="127"/>
      <c r="I32" s="127"/>
      <c r="J32" s="127"/>
      <c r="K32" s="127"/>
    </row>
    <row r="33" spans="1:15" x14ac:dyDescent="0.25">
      <c r="A33" s="127">
        <f>D19/F19</f>
        <v>5.2964281330551123E-2</v>
      </c>
      <c r="B33" s="127" t="s">
        <v>142</v>
      </c>
      <c r="C33" s="127" t="s">
        <v>193</v>
      </c>
      <c r="D33" s="127"/>
      <c r="E33" s="127"/>
      <c r="F33" s="127"/>
      <c r="G33" s="127"/>
      <c r="H33" s="127"/>
      <c r="I33" s="127"/>
      <c r="J33" s="127"/>
      <c r="K33" s="127"/>
    </row>
    <row r="34" spans="1:15" x14ac:dyDescent="0.25">
      <c r="A34" s="22">
        <f>D19/A30</f>
        <v>2.4827387802071352</v>
      </c>
      <c r="B34" s="127" t="s">
        <v>139</v>
      </c>
      <c r="C34" s="127" t="s">
        <v>403</v>
      </c>
      <c r="D34" s="127"/>
      <c r="E34" s="127"/>
      <c r="F34" s="127"/>
      <c r="G34" s="127"/>
      <c r="H34" s="127"/>
      <c r="I34" s="127"/>
      <c r="J34" s="127"/>
      <c r="K34" s="127"/>
    </row>
    <row r="35" spans="1:15" ht="15" customHeight="1" x14ac:dyDescent="0.25">
      <c r="A35" s="127"/>
      <c r="B35" s="127"/>
      <c r="C35" s="127"/>
      <c r="D35" s="127" t="s">
        <v>189</v>
      </c>
      <c r="E35" s="127"/>
      <c r="F35" s="127"/>
      <c r="G35" s="127"/>
      <c r="H35" s="127"/>
      <c r="I35" s="127"/>
      <c r="J35" s="127"/>
      <c r="K35" s="127"/>
      <c r="L35" s="10"/>
    </row>
    <row r="36" spans="1:15" ht="15" customHeight="1" x14ac:dyDescent="0.25">
      <c r="A36" s="127">
        <f>A30-E19</f>
        <v>122.26999999999995</v>
      </c>
      <c r="B36" s="127" t="s">
        <v>199</v>
      </c>
      <c r="C36" s="127" t="s">
        <v>200</v>
      </c>
      <c r="D36" s="127"/>
      <c r="E36" s="127"/>
      <c r="F36" s="127"/>
      <c r="G36" s="127"/>
      <c r="H36" s="127"/>
      <c r="I36" s="127"/>
      <c r="J36" s="127"/>
      <c r="K36" s="127"/>
      <c r="L36" s="101"/>
      <c r="M36" s="102"/>
      <c r="N36" s="102"/>
      <c r="O36" s="10"/>
    </row>
    <row r="37" spans="1:15" ht="15" customHeight="1" x14ac:dyDescent="0.25">
      <c r="A37" s="127"/>
      <c r="B37" s="127"/>
      <c r="C37" s="127"/>
      <c r="D37" s="127" t="s">
        <v>198</v>
      </c>
      <c r="E37" s="127"/>
      <c r="F37" s="127"/>
      <c r="G37" s="127"/>
      <c r="H37" s="127"/>
      <c r="I37" s="127"/>
      <c r="J37" s="127"/>
      <c r="K37" s="127"/>
      <c r="L37" s="101"/>
      <c r="M37" s="102"/>
      <c r="N37" s="102"/>
      <c r="O37" s="10"/>
    </row>
    <row r="38" spans="1:15" ht="15" customHeight="1" x14ac:dyDescent="0.25">
      <c r="A38" s="127">
        <f>F19/A36</f>
        <v>66.631225975300595</v>
      </c>
      <c r="B38" s="127" t="s">
        <v>135</v>
      </c>
      <c r="C38" s="127" t="s">
        <v>201</v>
      </c>
      <c r="D38" s="127"/>
      <c r="E38" s="127"/>
      <c r="F38" s="127"/>
      <c r="G38" s="127"/>
      <c r="H38" s="127"/>
      <c r="I38" s="127"/>
      <c r="J38" s="127"/>
      <c r="K38" s="127"/>
      <c r="L38" s="101"/>
      <c r="M38" s="102"/>
      <c r="N38" s="102"/>
      <c r="O38" s="10"/>
    </row>
    <row r="39" spans="1:15" ht="15" customHeight="1" x14ac:dyDescent="0.25">
      <c r="A39" s="127"/>
      <c r="B39" s="127"/>
      <c r="C39" s="127"/>
      <c r="D39" s="127"/>
      <c r="E39" s="127"/>
      <c r="F39" s="127"/>
      <c r="G39" s="127"/>
      <c r="H39" s="127"/>
      <c r="I39" s="127"/>
      <c r="J39" s="127"/>
      <c r="K39" s="127"/>
      <c r="L39" s="101"/>
      <c r="M39" s="102"/>
      <c r="N39" s="102"/>
      <c r="O39" s="10"/>
    </row>
    <row r="40" spans="1:15" ht="15" customHeight="1" x14ac:dyDescent="0.25">
      <c r="A40" s="132" t="s">
        <v>479</v>
      </c>
      <c r="B40" s="127"/>
      <c r="C40" s="127"/>
      <c r="D40" s="127"/>
      <c r="E40" s="127"/>
      <c r="F40" s="127"/>
      <c r="G40" s="127"/>
      <c r="H40" s="127"/>
      <c r="I40" s="127"/>
      <c r="J40" s="127"/>
      <c r="K40" s="127"/>
      <c r="L40" s="101"/>
      <c r="M40" s="102"/>
      <c r="N40" s="102"/>
      <c r="O40" s="10"/>
    </row>
    <row r="41" spans="1:15" ht="15" customHeight="1" x14ac:dyDescent="0.25">
      <c r="A41" s="127">
        <f>D20/F20</f>
        <v>7.2529765557874062E-2</v>
      </c>
      <c r="B41" s="127" t="s">
        <v>142</v>
      </c>
      <c r="C41" s="127" t="s">
        <v>456</v>
      </c>
      <c r="D41" s="127"/>
      <c r="E41" s="127"/>
      <c r="F41" s="127"/>
      <c r="G41" s="127"/>
      <c r="H41" s="127"/>
      <c r="I41" s="127"/>
      <c r="J41" s="127"/>
      <c r="K41" s="127"/>
      <c r="L41" s="101"/>
      <c r="M41" s="102"/>
      <c r="N41" s="102"/>
      <c r="O41" s="10"/>
    </row>
    <row r="42" spans="1:15" x14ac:dyDescent="0.25">
      <c r="A42" s="127"/>
      <c r="B42" s="127"/>
      <c r="C42" s="127"/>
      <c r="D42" s="127" t="s">
        <v>196</v>
      </c>
      <c r="E42" s="127"/>
      <c r="F42" s="127"/>
      <c r="G42" s="127"/>
      <c r="H42" s="127"/>
      <c r="I42" s="127"/>
      <c r="J42" s="127"/>
      <c r="K42" s="127"/>
      <c r="L42" s="103"/>
      <c r="M42" s="10"/>
      <c r="N42" s="10"/>
      <c r="O42" s="10"/>
    </row>
    <row r="43" spans="1:15" x14ac:dyDescent="0.25">
      <c r="A43" s="22">
        <f>A41*A31</f>
        <v>3.3998849252013814</v>
      </c>
      <c r="B43" s="127" t="s">
        <v>139</v>
      </c>
      <c r="C43" s="127" t="s">
        <v>455</v>
      </c>
      <c r="D43" s="127"/>
      <c r="E43" s="127"/>
      <c r="F43" s="127"/>
      <c r="G43" s="127"/>
      <c r="H43" s="127"/>
      <c r="I43" s="127"/>
      <c r="J43" s="127"/>
      <c r="K43" s="127"/>
      <c r="L43" s="103"/>
      <c r="M43" s="10"/>
      <c r="N43" s="10"/>
      <c r="O43" s="10"/>
    </row>
    <row r="44" spans="1:15" x14ac:dyDescent="0.25">
      <c r="A44" s="127"/>
      <c r="B44" s="127"/>
      <c r="C44" s="127"/>
      <c r="D44" s="127" t="s">
        <v>404</v>
      </c>
      <c r="E44" s="127"/>
      <c r="F44" s="127"/>
      <c r="G44" s="127"/>
      <c r="H44" s="127"/>
      <c r="I44" s="127"/>
      <c r="J44" s="127"/>
      <c r="K44" s="127"/>
      <c r="L44" s="102"/>
      <c r="M44" s="10"/>
      <c r="N44" s="10"/>
      <c r="O44" s="10"/>
    </row>
    <row r="45" spans="1:15" x14ac:dyDescent="0.25">
      <c r="A45" s="127">
        <f>B20/D20</f>
        <v>0.56625486545946868</v>
      </c>
      <c r="B45" s="127" t="s">
        <v>135</v>
      </c>
      <c r="C45" s="127" t="s">
        <v>500</v>
      </c>
      <c r="D45" s="127"/>
      <c r="E45" s="127"/>
      <c r="F45" s="127"/>
      <c r="G45" s="127"/>
      <c r="H45" s="127"/>
      <c r="I45" s="127"/>
      <c r="J45" s="127"/>
      <c r="K45" s="127"/>
      <c r="L45" s="102"/>
      <c r="M45" s="10"/>
      <c r="N45" s="10"/>
      <c r="O45" s="10"/>
    </row>
    <row r="46" spans="1:15" x14ac:dyDescent="0.25">
      <c r="A46" s="127"/>
      <c r="B46" s="127"/>
      <c r="C46" s="127"/>
      <c r="D46" s="127"/>
      <c r="E46" s="127"/>
      <c r="F46" s="127"/>
      <c r="G46" s="127"/>
      <c r="H46" s="127"/>
      <c r="I46" s="127"/>
      <c r="J46" s="127"/>
      <c r="K46" s="127"/>
      <c r="L46" s="102"/>
      <c r="M46" s="10"/>
      <c r="N46" s="10"/>
      <c r="O46" s="10"/>
    </row>
    <row r="47" spans="1:15" x14ac:dyDescent="0.25">
      <c r="A47" s="132"/>
      <c r="B47" s="127"/>
      <c r="C47" s="127"/>
      <c r="D47" s="127"/>
      <c r="E47" s="127"/>
      <c r="F47" s="127"/>
      <c r="G47" s="127"/>
      <c r="H47" s="127"/>
      <c r="I47" s="127"/>
      <c r="J47" s="127"/>
      <c r="K47" s="127"/>
      <c r="L47" s="10"/>
      <c r="M47" s="10"/>
      <c r="N47" s="10"/>
      <c r="O47" s="10"/>
    </row>
    <row r="48" spans="1:15" x14ac:dyDescent="0.25">
      <c r="A48" s="127"/>
      <c r="B48" s="129"/>
      <c r="C48" s="127"/>
      <c r="D48" s="127"/>
      <c r="E48" s="127"/>
      <c r="F48" s="127"/>
      <c r="G48" s="127"/>
      <c r="H48" s="127"/>
      <c r="I48" s="127"/>
      <c r="J48" s="127"/>
      <c r="K48" s="127"/>
      <c r="L48" s="10"/>
      <c r="M48" s="10"/>
      <c r="N48" s="10"/>
      <c r="O48" s="10"/>
    </row>
    <row r="49" spans="1:15" x14ac:dyDescent="0.25">
      <c r="A49" s="127"/>
      <c r="B49" s="144"/>
      <c r="C49" s="144"/>
      <c r="D49" s="127"/>
      <c r="E49" s="127"/>
      <c r="F49" s="127"/>
      <c r="G49" s="127"/>
      <c r="H49" s="127"/>
      <c r="I49" s="127"/>
      <c r="J49" s="127"/>
      <c r="K49" s="127"/>
      <c r="L49" s="10"/>
      <c r="M49" s="10"/>
      <c r="N49" s="10"/>
      <c r="O49" s="10"/>
    </row>
    <row r="50" spans="1:15" x14ac:dyDescent="0.25">
      <c r="A50" s="137"/>
      <c r="B50" s="144"/>
      <c r="C50" s="144"/>
      <c r="D50" s="127"/>
      <c r="E50" s="127"/>
      <c r="F50" s="127"/>
      <c r="G50" s="127"/>
      <c r="H50" s="127"/>
      <c r="I50" s="127"/>
      <c r="J50" s="127"/>
      <c r="K50" s="127"/>
      <c r="L50" s="10"/>
      <c r="M50" s="10"/>
      <c r="N50" s="10"/>
      <c r="O50" s="10"/>
    </row>
    <row r="51" spans="1:15" x14ac:dyDescent="0.25">
      <c r="A51" s="127"/>
      <c r="B51" s="144"/>
      <c r="C51" s="127"/>
      <c r="D51" s="127"/>
      <c r="E51" s="127"/>
      <c r="F51" s="127"/>
      <c r="G51" s="127"/>
      <c r="H51" s="127"/>
      <c r="I51" s="127"/>
      <c r="J51" s="127"/>
      <c r="K51" s="127"/>
    </row>
    <row r="52" spans="1:15" x14ac:dyDescent="0.25">
      <c r="A52" s="127"/>
      <c r="B52" s="127"/>
      <c r="C52" s="137"/>
      <c r="D52" s="127"/>
      <c r="E52" s="127"/>
      <c r="F52" s="127"/>
      <c r="G52" s="127"/>
      <c r="H52" s="127"/>
      <c r="I52" s="127"/>
      <c r="J52" s="127"/>
      <c r="K52" s="127"/>
    </row>
    <row r="53" spans="1:15" x14ac:dyDescent="0.25">
      <c r="A53" s="127"/>
      <c r="B53" s="129"/>
      <c r="C53" s="127"/>
      <c r="D53" s="127"/>
      <c r="E53" s="127"/>
      <c r="F53" s="127"/>
      <c r="G53" s="127"/>
      <c r="H53" s="127"/>
      <c r="I53" s="127"/>
      <c r="J53" s="127"/>
      <c r="K53" s="127"/>
    </row>
    <row r="54" spans="1:15" x14ac:dyDescent="0.25">
      <c r="A54" s="138"/>
      <c r="B54" s="129"/>
      <c r="C54" s="127"/>
      <c r="D54" s="127"/>
      <c r="E54" s="127"/>
      <c r="F54" s="127"/>
      <c r="G54" s="127"/>
      <c r="H54" s="127"/>
      <c r="I54" s="127"/>
      <c r="J54" s="127"/>
      <c r="K54" s="127"/>
    </row>
    <row r="55" spans="1:15" x14ac:dyDescent="0.25">
      <c r="A55" s="127"/>
      <c r="B55" s="129"/>
      <c r="C55" s="127"/>
      <c r="D55" s="127"/>
      <c r="E55" s="127"/>
      <c r="F55" s="127"/>
      <c r="G55" s="127"/>
      <c r="H55" s="127"/>
      <c r="I55" s="127"/>
      <c r="J55" s="127"/>
      <c r="K55" s="127"/>
    </row>
    <row r="56" spans="1:15" x14ac:dyDescent="0.25">
      <c r="A56" s="127"/>
      <c r="B56" s="129"/>
      <c r="C56" s="127"/>
      <c r="D56" s="127"/>
      <c r="E56" s="127"/>
      <c r="F56" s="127"/>
      <c r="G56" s="127"/>
      <c r="H56" s="127"/>
      <c r="I56" s="127"/>
      <c r="J56" s="127"/>
      <c r="K56" s="127"/>
    </row>
    <row r="57" spans="1:15" x14ac:dyDescent="0.25">
      <c r="A57" s="127"/>
      <c r="B57" s="144"/>
      <c r="C57" s="127"/>
      <c r="D57" s="127"/>
      <c r="E57" s="127"/>
      <c r="F57" s="127"/>
      <c r="G57" s="127"/>
      <c r="H57" s="127"/>
      <c r="I57" s="127"/>
      <c r="J57" s="127"/>
      <c r="K57" s="127"/>
    </row>
    <row r="58" spans="1:15" x14ac:dyDescent="0.25">
      <c r="A58" s="127"/>
      <c r="B58" s="129"/>
      <c r="C58" s="127"/>
      <c r="D58" s="127"/>
      <c r="E58" s="127"/>
      <c r="F58" s="127"/>
      <c r="G58" s="127"/>
      <c r="H58" s="127"/>
      <c r="I58" s="127"/>
      <c r="J58" s="127"/>
      <c r="K58" s="127"/>
    </row>
    <row r="59" spans="1:15" x14ac:dyDescent="0.25">
      <c r="A59" s="127"/>
      <c r="B59" s="129"/>
      <c r="C59" s="127"/>
      <c r="D59" s="127"/>
      <c r="E59" s="127"/>
      <c r="F59" s="127"/>
      <c r="G59" s="127"/>
      <c r="H59" s="127"/>
      <c r="I59" s="127"/>
      <c r="J59" s="127"/>
      <c r="K59" s="127"/>
    </row>
    <row r="60" spans="1:15" x14ac:dyDescent="0.25">
      <c r="A60" s="128"/>
      <c r="B60" s="144"/>
      <c r="C60" s="127"/>
      <c r="D60" s="127"/>
      <c r="E60" s="127"/>
      <c r="F60" s="127"/>
      <c r="G60" s="127"/>
      <c r="H60" s="127"/>
      <c r="I60" s="127"/>
      <c r="J60" s="127"/>
      <c r="K60" s="127"/>
    </row>
    <row r="61" spans="1:15" x14ac:dyDescent="0.25">
      <c r="A61" s="127"/>
      <c r="B61" s="129"/>
      <c r="C61" s="127"/>
      <c r="D61" s="127"/>
      <c r="E61" s="127"/>
      <c r="F61" s="127"/>
      <c r="G61" s="127"/>
      <c r="H61" s="127"/>
      <c r="I61" s="127"/>
      <c r="J61" s="127"/>
      <c r="K61" s="127"/>
    </row>
    <row r="62" spans="1:15" x14ac:dyDescent="0.25">
      <c r="A62" s="128"/>
      <c r="B62" s="144"/>
      <c r="C62" s="127"/>
      <c r="D62" s="127"/>
      <c r="E62" s="127"/>
      <c r="F62" s="127"/>
      <c r="G62" s="127"/>
      <c r="H62" s="127"/>
      <c r="I62" s="127"/>
      <c r="J62" s="127"/>
      <c r="K62" s="127"/>
    </row>
    <row r="63" spans="1:15" x14ac:dyDescent="0.25">
      <c r="A63" s="127"/>
      <c r="B63" s="129"/>
      <c r="C63" s="127"/>
      <c r="D63" s="127"/>
      <c r="E63" s="127"/>
      <c r="F63" s="127"/>
      <c r="G63" s="127"/>
      <c r="H63" s="127"/>
      <c r="I63" s="127"/>
      <c r="J63" s="127"/>
      <c r="K63" s="127"/>
    </row>
    <row r="64" spans="1:15" x14ac:dyDescent="0.25">
      <c r="A64" s="22"/>
      <c r="B64" s="144"/>
      <c r="C64" s="127"/>
      <c r="D64" s="127"/>
      <c r="E64" s="127"/>
      <c r="F64" s="127"/>
      <c r="G64" s="127"/>
      <c r="H64" s="127"/>
      <c r="I64" s="127"/>
      <c r="J64" s="127"/>
      <c r="K64" s="127"/>
    </row>
    <row r="65" spans="1:11" x14ac:dyDescent="0.25">
      <c r="A65" s="127"/>
      <c r="B65" s="127"/>
      <c r="C65" s="144"/>
      <c r="D65" s="127"/>
      <c r="E65" s="127"/>
      <c r="F65" s="127"/>
      <c r="G65" s="127"/>
      <c r="H65" s="127"/>
      <c r="I65" s="127"/>
      <c r="J65" s="127"/>
      <c r="K65" s="127"/>
    </row>
    <row r="66" spans="1:11" x14ac:dyDescent="0.25">
      <c r="A66" s="139"/>
      <c r="B66" s="139"/>
      <c r="C66" s="127"/>
      <c r="D66" s="127"/>
      <c r="E66" s="127"/>
      <c r="F66" s="127"/>
      <c r="G66" s="127"/>
      <c r="H66" s="127"/>
      <c r="I66" s="127"/>
      <c r="J66" s="127"/>
      <c r="K66" s="127"/>
    </row>
    <row r="67" spans="1:11" x14ac:dyDescent="0.25">
      <c r="A67" s="127"/>
      <c r="B67" s="127"/>
      <c r="C67" s="127"/>
      <c r="D67" s="127"/>
      <c r="E67" s="127"/>
      <c r="F67" s="127"/>
      <c r="G67" s="127"/>
      <c r="H67" s="127"/>
      <c r="I67" s="127"/>
      <c r="J67" s="127"/>
      <c r="K67" s="127"/>
    </row>
    <row r="68" spans="1:11" x14ac:dyDescent="0.25">
      <c r="A68" s="127" t="s">
        <v>183</v>
      </c>
      <c r="B68" s="127" t="s">
        <v>184</v>
      </c>
      <c r="C68" s="127" t="s">
        <v>185</v>
      </c>
      <c r="D68" s="127"/>
      <c r="E68" s="127"/>
      <c r="F68" s="127"/>
      <c r="G68" s="127"/>
      <c r="H68" s="127"/>
      <c r="I68" s="127"/>
      <c r="J68" s="127"/>
      <c r="K68" s="127"/>
    </row>
    <row r="69" spans="1:11" x14ac:dyDescent="0.25">
      <c r="A69" s="131" t="s">
        <v>181</v>
      </c>
      <c r="B69" s="127"/>
      <c r="C69" s="127"/>
      <c r="D69" s="127"/>
      <c r="E69" s="127"/>
      <c r="F69" s="127"/>
      <c r="G69" s="127"/>
      <c r="H69" s="127"/>
      <c r="I69" s="127"/>
      <c r="J69" s="127"/>
      <c r="K69" s="127"/>
    </row>
    <row r="70" spans="1:11" x14ac:dyDescent="0.25">
      <c r="A70" s="132" t="s">
        <v>480</v>
      </c>
      <c r="B70" s="127"/>
      <c r="C70" s="127"/>
      <c r="D70" s="127"/>
      <c r="E70" s="127"/>
      <c r="F70" s="127"/>
      <c r="G70" s="127"/>
      <c r="H70" s="127"/>
      <c r="I70" s="127"/>
      <c r="J70" s="127"/>
      <c r="K70" s="127"/>
    </row>
    <row r="71" spans="1:11" x14ac:dyDescent="0.25">
      <c r="A71" s="127">
        <f>D22-D23</f>
        <v>158.70000000000005</v>
      </c>
      <c r="B71" s="127" t="s">
        <v>41</v>
      </c>
      <c r="C71" s="127" t="s">
        <v>197</v>
      </c>
      <c r="D71" s="127"/>
      <c r="E71" s="127"/>
      <c r="F71" s="127"/>
      <c r="G71" s="127"/>
      <c r="H71" s="127"/>
      <c r="I71" s="127"/>
      <c r="J71" s="127"/>
      <c r="K71" s="127"/>
    </row>
    <row r="72" spans="1:11" x14ac:dyDescent="0.25">
      <c r="A72" s="127">
        <f>F23/A71</f>
        <v>46.824196597353485</v>
      </c>
      <c r="B72" s="127" t="s">
        <v>135</v>
      </c>
      <c r="C72" s="127" t="s">
        <v>186</v>
      </c>
      <c r="D72" s="127"/>
      <c r="E72" s="127"/>
      <c r="F72" s="127"/>
      <c r="G72" s="127"/>
      <c r="H72" s="127"/>
      <c r="I72" s="127"/>
      <c r="J72" s="127"/>
      <c r="K72" s="127"/>
    </row>
    <row r="73" spans="1:11" x14ac:dyDescent="0.25">
      <c r="A73" s="127"/>
      <c r="B73" s="127"/>
      <c r="C73" s="127"/>
      <c r="D73" s="127" t="s">
        <v>187</v>
      </c>
      <c r="E73" s="127"/>
      <c r="F73" s="127"/>
      <c r="G73" s="127"/>
      <c r="H73" s="127"/>
      <c r="I73" s="127"/>
      <c r="J73" s="127"/>
      <c r="K73" s="127"/>
    </row>
    <row r="74" spans="1:11" x14ac:dyDescent="0.25">
      <c r="A74" s="127">
        <f>D23/F23</f>
        <v>6.1229982505719281E-2</v>
      </c>
      <c r="B74" s="127" t="s">
        <v>142</v>
      </c>
      <c r="C74" s="127" t="s">
        <v>193</v>
      </c>
      <c r="D74" s="127"/>
      <c r="E74" s="127"/>
      <c r="F74" s="127"/>
      <c r="G74" s="127"/>
      <c r="H74" s="127"/>
      <c r="I74" s="127"/>
      <c r="J74" s="127"/>
      <c r="K74" s="127"/>
    </row>
    <row r="75" spans="1:11" x14ac:dyDescent="0.25">
      <c r="A75" s="22">
        <f>D23/A71</f>
        <v>2.8670447385003142</v>
      </c>
      <c r="B75" s="127" t="s">
        <v>139</v>
      </c>
      <c r="C75" s="127" t="s">
        <v>403</v>
      </c>
      <c r="D75" s="127"/>
      <c r="E75" s="127"/>
      <c r="F75" s="127"/>
      <c r="G75" s="127"/>
      <c r="H75" s="127"/>
      <c r="I75" s="127"/>
      <c r="J75" s="127"/>
      <c r="K75" s="127"/>
    </row>
    <row r="76" spans="1:11" x14ac:dyDescent="0.25">
      <c r="A76" s="127"/>
      <c r="B76" s="127"/>
      <c r="C76" s="127"/>
      <c r="D76" s="127" t="s">
        <v>189</v>
      </c>
      <c r="E76" s="127"/>
      <c r="F76" s="127"/>
      <c r="G76" s="127"/>
      <c r="H76" s="127"/>
      <c r="I76" s="127"/>
      <c r="J76" s="127"/>
      <c r="K76" s="127"/>
    </row>
    <row r="77" spans="1:11" x14ac:dyDescent="0.25">
      <c r="A77" s="127">
        <f>A71-E23</f>
        <v>112.17000000000004</v>
      </c>
      <c r="B77" s="127" t="s">
        <v>199</v>
      </c>
      <c r="C77" s="127" t="s">
        <v>200</v>
      </c>
      <c r="D77" s="127"/>
      <c r="E77" s="127"/>
      <c r="F77" s="127"/>
      <c r="G77" s="127"/>
      <c r="H77" s="127"/>
      <c r="I77" s="127"/>
      <c r="J77" s="127"/>
      <c r="K77" s="127"/>
    </row>
    <row r="78" spans="1:11" x14ac:dyDescent="0.25">
      <c r="A78" s="127"/>
      <c r="B78" s="127"/>
      <c r="C78" s="127"/>
      <c r="D78" s="127" t="s">
        <v>198</v>
      </c>
      <c r="E78" s="127"/>
      <c r="F78" s="127"/>
      <c r="G78" s="127"/>
      <c r="H78" s="127"/>
      <c r="I78" s="127"/>
      <c r="J78" s="127"/>
      <c r="K78" s="127"/>
    </row>
    <row r="79" spans="1:11" x14ac:dyDescent="0.25">
      <c r="A79" s="127">
        <f>F23/A77</f>
        <v>66.247659802086091</v>
      </c>
      <c r="B79" s="127" t="s">
        <v>135</v>
      </c>
      <c r="C79" s="127" t="s">
        <v>201</v>
      </c>
      <c r="D79" s="127"/>
      <c r="E79" s="127"/>
      <c r="F79" s="127"/>
      <c r="G79" s="127"/>
      <c r="H79" s="127"/>
      <c r="I79" s="127"/>
      <c r="J79" s="127"/>
      <c r="K79" s="127"/>
    </row>
    <row r="80" spans="1:11" x14ac:dyDescent="0.25">
      <c r="A80" s="127"/>
      <c r="B80" s="127"/>
      <c r="C80" s="127"/>
      <c r="D80" s="127"/>
      <c r="E80" s="127"/>
      <c r="F80" s="127"/>
      <c r="G80" s="127"/>
      <c r="H80" s="127"/>
      <c r="I80" s="127"/>
      <c r="J80" s="127"/>
      <c r="K80" s="127"/>
    </row>
    <row r="81" spans="1:12" x14ac:dyDescent="0.25">
      <c r="A81" s="132" t="s">
        <v>479</v>
      </c>
      <c r="B81" s="127"/>
      <c r="C81" s="127"/>
      <c r="D81" s="127"/>
      <c r="E81" s="127"/>
      <c r="F81" s="127"/>
      <c r="G81" s="127"/>
      <c r="H81" s="127"/>
      <c r="I81" s="127"/>
      <c r="J81" s="127"/>
      <c r="K81" s="127"/>
    </row>
    <row r="82" spans="1:12" x14ac:dyDescent="0.25">
      <c r="A82" s="127">
        <f>D24/F24</f>
        <v>8.0931234019647413E-2</v>
      </c>
      <c r="B82" s="127" t="s">
        <v>142</v>
      </c>
      <c r="C82" s="127" t="s">
        <v>268</v>
      </c>
      <c r="D82" s="127"/>
      <c r="E82" s="127"/>
      <c r="F82" s="127"/>
      <c r="G82" s="127"/>
      <c r="H82" s="127"/>
      <c r="I82" s="127"/>
      <c r="J82" s="127"/>
      <c r="K82" s="127"/>
    </row>
    <row r="83" spans="1:12" x14ac:dyDescent="0.25">
      <c r="A83" s="127"/>
      <c r="B83" s="127"/>
      <c r="C83" s="127"/>
      <c r="D83" s="127" t="s">
        <v>196</v>
      </c>
      <c r="E83" s="127"/>
      <c r="F83" s="127"/>
      <c r="G83" s="127"/>
      <c r="H83" s="127"/>
      <c r="I83" s="127"/>
      <c r="J83" s="127"/>
      <c r="K83" s="127"/>
    </row>
    <row r="84" spans="1:12" x14ac:dyDescent="0.25">
      <c r="A84" s="22">
        <f>A82*A72</f>
        <v>3.789540012602393</v>
      </c>
      <c r="B84" s="127" t="s">
        <v>139</v>
      </c>
      <c r="C84" s="127" t="s">
        <v>191</v>
      </c>
      <c r="D84" s="127"/>
      <c r="E84" s="127"/>
      <c r="F84" s="127"/>
      <c r="G84" s="127"/>
      <c r="H84" s="127"/>
      <c r="I84" s="127"/>
      <c r="J84" s="127"/>
      <c r="K84" s="127"/>
    </row>
    <row r="85" spans="1:12" x14ac:dyDescent="0.25">
      <c r="A85" s="127"/>
      <c r="B85" s="127"/>
      <c r="C85" s="127"/>
      <c r="D85" s="127" t="s">
        <v>192</v>
      </c>
      <c r="E85" s="127"/>
      <c r="F85" s="127"/>
      <c r="G85" s="127"/>
      <c r="H85" s="127"/>
      <c r="I85" s="127"/>
      <c r="J85" s="127"/>
      <c r="K85" s="127"/>
    </row>
    <row r="86" spans="1:12" x14ac:dyDescent="0.25">
      <c r="A86" s="127"/>
      <c r="B86" s="127"/>
      <c r="C86" s="127"/>
      <c r="D86" s="127" t="s">
        <v>404</v>
      </c>
      <c r="E86" s="127"/>
      <c r="F86" s="127"/>
      <c r="G86" s="127"/>
      <c r="H86" s="127"/>
      <c r="I86" s="127"/>
      <c r="J86" s="127"/>
      <c r="K86" s="127"/>
    </row>
    <row r="87" spans="1:12" x14ac:dyDescent="0.25">
      <c r="A87" s="127">
        <f>B24/D24</f>
        <v>0.33821084137013635</v>
      </c>
      <c r="B87" s="127" t="s">
        <v>135</v>
      </c>
      <c r="C87" s="127" t="s">
        <v>500</v>
      </c>
      <c r="D87" s="127"/>
      <c r="E87" s="127"/>
      <c r="F87" s="127"/>
      <c r="G87" s="127"/>
      <c r="H87" s="127"/>
      <c r="I87" s="127"/>
      <c r="J87" s="127"/>
      <c r="K87" s="127"/>
    </row>
    <row r="88" spans="1:12" x14ac:dyDescent="0.25">
      <c r="A88" s="127"/>
      <c r="B88" s="127"/>
      <c r="C88" s="127"/>
      <c r="D88" s="127"/>
      <c r="E88" s="127"/>
      <c r="F88" s="127"/>
      <c r="G88" s="127"/>
      <c r="H88" s="127"/>
      <c r="I88" s="127"/>
      <c r="J88" s="127"/>
      <c r="K88" s="127"/>
      <c r="L88">
        <f>1/(A84*1/(1+2.4))</f>
        <v>0.8972065181243768</v>
      </c>
    </row>
    <row r="89" spans="1:12" x14ac:dyDescent="0.25">
      <c r="A89" s="132" t="s">
        <v>478</v>
      </c>
      <c r="B89" s="127"/>
      <c r="C89" s="127"/>
      <c r="D89" s="127"/>
      <c r="E89" s="127"/>
      <c r="F89" s="127"/>
      <c r="G89" s="127"/>
      <c r="H89" s="127"/>
      <c r="I89" s="127"/>
      <c r="J89" s="127"/>
      <c r="K89" s="127"/>
    </row>
    <row r="90" spans="1:12" x14ac:dyDescent="0.25">
      <c r="A90" s="127">
        <f>B23/(A77+E23+D23)</f>
        <v>0.33143229591005374</v>
      </c>
      <c r="B90" s="127" t="s">
        <v>458</v>
      </c>
      <c r="C90" s="127" t="s">
        <v>476</v>
      </c>
      <c r="D90" s="127"/>
      <c r="E90" s="127"/>
      <c r="F90" s="127"/>
      <c r="G90" s="127"/>
      <c r="H90" s="127"/>
      <c r="I90" s="127"/>
      <c r="J90" s="127"/>
      <c r="K90" s="127"/>
    </row>
    <row r="91" spans="1:12" x14ac:dyDescent="0.25">
      <c r="A91" s="127"/>
      <c r="B91" s="127"/>
      <c r="C91" s="127"/>
      <c r="D91" s="127"/>
      <c r="E91" s="127" t="s">
        <v>477</v>
      </c>
      <c r="F91" s="127"/>
      <c r="G91" s="127"/>
      <c r="H91" s="127"/>
      <c r="I91" s="127"/>
      <c r="J91" s="127"/>
      <c r="K91" s="127"/>
    </row>
    <row r="92" spans="1:12" x14ac:dyDescent="0.25">
      <c r="A92" s="137" t="s">
        <v>462</v>
      </c>
      <c r="B92" s="127"/>
      <c r="C92" s="127"/>
      <c r="D92" s="127"/>
      <c r="E92" s="127"/>
      <c r="F92" s="127"/>
      <c r="G92" s="127"/>
      <c r="H92" s="127"/>
      <c r="I92" s="127"/>
      <c r="J92" s="127"/>
      <c r="K92" s="127"/>
    </row>
    <row r="93" spans="1:12" x14ac:dyDescent="0.25">
      <c r="A93" s="127">
        <f>A90/A72</f>
        <v>7.0782270705053883E-3</v>
      </c>
      <c r="B93" s="127" t="s">
        <v>463</v>
      </c>
      <c r="C93" s="127"/>
      <c r="D93" s="127"/>
      <c r="E93" s="127"/>
      <c r="F93" s="127"/>
      <c r="G93" s="127"/>
      <c r="H93" s="127"/>
      <c r="I93" s="127"/>
      <c r="J93" s="127"/>
      <c r="K93" s="127"/>
    </row>
    <row r="94" spans="1:12" x14ac:dyDescent="0.25">
      <c r="A94" s="127"/>
      <c r="B94" s="127"/>
      <c r="C94" s="137" t="s">
        <v>459</v>
      </c>
      <c r="D94" s="127"/>
      <c r="E94" s="127"/>
      <c r="F94" s="127"/>
      <c r="G94" s="127"/>
      <c r="H94" s="127"/>
      <c r="I94" s="127"/>
      <c r="J94" s="127"/>
      <c r="K94" s="127"/>
    </row>
    <row r="95" spans="1:12" x14ac:dyDescent="0.25">
      <c r="A95" s="138"/>
      <c r="B95" s="127"/>
      <c r="C95" s="127" t="s">
        <v>465</v>
      </c>
      <c r="D95" s="127">
        <v>1</v>
      </c>
      <c r="E95" s="127" t="s">
        <v>469</v>
      </c>
      <c r="F95" s="127"/>
      <c r="G95" s="127"/>
      <c r="H95" s="127"/>
      <c r="I95" s="127"/>
      <c r="J95" s="127"/>
      <c r="K95" s="127"/>
    </row>
    <row r="96" spans="1:12" x14ac:dyDescent="0.25">
      <c r="A96" s="127"/>
      <c r="B96" s="127"/>
      <c r="C96" s="127"/>
      <c r="D96" s="127">
        <f>D95*A93</f>
        <v>7.0782270705053883E-3</v>
      </c>
      <c r="E96" s="127" t="s">
        <v>460</v>
      </c>
      <c r="F96" s="127"/>
      <c r="G96" s="127"/>
      <c r="H96" s="127"/>
      <c r="I96" s="127"/>
      <c r="J96" s="127"/>
      <c r="K96" s="127"/>
    </row>
    <row r="97" spans="1:11" x14ac:dyDescent="0.25">
      <c r="A97" s="127" t="s">
        <v>470</v>
      </c>
      <c r="B97" s="127"/>
      <c r="C97" s="127"/>
      <c r="D97" s="127"/>
      <c r="E97" s="127"/>
      <c r="F97" s="127"/>
      <c r="G97" s="127"/>
      <c r="H97" s="127"/>
      <c r="I97" s="127"/>
      <c r="J97" s="127"/>
      <c r="K97" s="127"/>
    </row>
    <row r="98" spans="1:11" x14ac:dyDescent="0.25">
      <c r="A98" s="127" t="s">
        <v>461</v>
      </c>
      <c r="B98" s="127"/>
      <c r="C98" s="127"/>
      <c r="D98" s="127"/>
      <c r="E98" s="127"/>
      <c r="F98" s="127"/>
      <c r="G98" s="127"/>
      <c r="H98" s="127"/>
      <c r="I98" s="127"/>
      <c r="J98" s="127"/>
      <c r="K98" s="127"/>
    </row>
    <row r="99" spans="1:11" x14ac:dyDescent="0.25">
      <c r="A99" s="127">
        <f>F23/B23</f>
        <v>36.533923303834804</v>
      </c>
      <c r="B99" s="127" t="s">
        <v>464</v>
      </c>
      <c r="C99" s="127"/>
      <c r="D99" s="127" t="s">
        <v>503</v>
      </c>
      <c r="E99" s="127"/>
      <c r="F99" s="127"/>
      <c r="G99" s="127"/>
      <c r="H99" s="127"/>
      <c r="I99" s="127"/>
      <c r="J99" s="127"/>
      <c r="K99" s="127"/>
    </row>
    <row r="100" spans="1:11" x14ac:dyDescent="0.25">
      <c r="A100" s="127"/>
      <c r="B100" s="127"/>
      <c r="C100" s="127" t="s">
        <v>466</v>
      </c>
      <c r="D100" s="127"/>
      <c r="E100" s="127"/>
      <c r="F100" s="127"/>
      <c r="G100" s="127"/>
      <c r="H100" s="127"/>
      <c r="I100" s="127"/>
      <c r="J100" s="127"/>
      <c r="K100" s="127"/>
    </row>
    <row r="101" spans="1:11" x14ac:dyDescent="0.25">
      <c r="A101" s="127" t="s">
        <v>505</v>
      </c>
      <c r="B101" s="127"/>
      <c r="C101" s="127"/>
      <c r="D101" s="127"/>
      <c r="E101" s="127"/>
      <c r="F101" s="127"/>
      <c r="G101" s="127"/>
      <c r="H101" s="127"/>
      <c r="I101" s="127"/>
      <c r="J101" s="127"/>
      <c r="K101" s="127"/>
    </row>
    <row r="102" spans="1:11" x14ac:dyDescent="0.25">
      <c r="A102" s="22">
        <f>A93/(1/A99-A93)</f>
        <v>0.34879120879120878</v>
      </c>
      <c r="B102" s="127" t="s">
        <v>468</v>
      </c>
      <c r="C102" s="127"/>
      <c r="D102" s="127"/>
      <c r="E102" s="127"/>
      <c r="F102" s="127" t="s">
        <v>504</v>
      </c>
      <c r="G102" s="127"/>
      <c r="H102" s="127"/>
      <c r="I102" s="127"/>
      <c r="J102" s="127"/>
      <c r="K102" s="127"/>
    </row>
    <row r="103" spans="1:11" x14ac:dyDescent="0.25">
      <c r="A103" s="127" t="s">
        <v>467</v>
      </c>
      <c r="B103" s="127"/>
      <c r="C103" s="127"/>
      <c r="D103" s="127"/>
      <c r="E103" s="127"/>
      <c r="F103" s="127"/>
      <c r="G103" s="127"/>
      <c r="H103" s="127"/>
      <c r="I103" s="127"/>
      <c r="J103" s="127"/>
      <c r="K103" s="127"/>
    </row>
    <row r="104" spans="1:11" x14ac:dyDescent="0.25">
      <c r="A104" s="128">
        <f>A102*(1/A72)</f>
        <v>7.4489523395458012E-3</v>
      </c>
      <c r="B104" s="127" t="s">
        <v>473</v>
      </c>
      <c r="C104" s="127"/>
      <c r="D104" s="127"/>
      <c r="E104" s="127"/>
      <c r="F104" s="127"/>
      <c r="G104" s="127"/>
      <c r="H104" s="127"/>
      <c r="I104" s="127"/>
      <c r="J104" s="127"/>
      <c r="K104" s="127"/>
    </row>
    <row r="105" spans="1:11" x14ac:dyDescent="0.25">
      <c r="A105" s="127" t="s">
        <v>472</v>
      </c>
      <c r="B105" s="127"/>
      <c r="C105" s="127"/>
      <c r="D105" s="127"/>
      <c r="E105" s="127"/>
      <c r="F105" s="127"/>
      <c r="G105" s="127"/>
      <c r="H105" s="127"/>
      <c r="I105" s="127"/>
      <c r="J105" s="127"/>
      <c r="K105" s="127"/>
    </row>
    <row r="106" spans="1:11" x14ac:dyDescent="0.25">
      <c r="A106" s="22">
        <f>A104*A72</f>
        <v>0.34879120879120878</v>
      </c>
      <c r="B106" s="127" t="s">
        <v>474</v>
      </c>
      <c r="C106" s="127"/>
      <c r="D106" s="127"/>
      <c r="E106" s="127"/>
      <c r="F106" s="127"/>
      <c r="G106" s="127"/>
      <c r="H106" s="127"/>
      <c r="I106" s="127"/>
      <c r="J106" s="127"/>
      <c r="K106" s="127"/>
    </row>
    <row r="107" spans="1:11" x14ac:dyDescent="0.25">
      <c r="A107" s="139"/>
      <c r="B107" s="127" t="s">
        <v>475</v>
      </c>
      <c r="C107" s="127"/>
      <c r="D107" s="127"/>
      <c r="E107" s="127"/>
      <c r="F107" s="127"/>
      <c r="G107" s="127"/>
      <c r="H107" s="127"/>
      <c r="I107" s="127"/>
      <c r="J107" s="127"/>
      <c r="K107" s="127"/>
    </row>
    <row r="112" spans="1:11" x14ac:dyDescent="0.25">
      <c r="A112" t="s">
        <v>506</v>
      </c>
    </row>
    <row r="113" spans="1:1" x14ac:dyDescent="0.25">
      <c r="A113" t="s">
        <v>507</v>
      </c>
    </row>
    <row r="114" spans="1:1" x14ac:dyDescent="0.25">
      <c r="A114" t="s">
        <v>508</v>
      </c>
    </row>
    <row r="115" spans="1:1" x14ac:dyDescent="0.25">
      <c r="A115" t="s">
        <v>509</v>
      </c>
    </row>
    <row r="116" spans="1:1" x14ac:dyDescent="0.25">
      <c r="A116" t="s">
        <v>510</v>
      </c>
    </row>
    <row r="118" spans="1:1" x14ac:dyDescent="0.25">
      <c r="A118" t="s">
        <v>511</v>
      </c>
    </row>
    <row r="119" spans="1:1" x14ac:dyDescent="0.25">
      <c r="A119" t="s">
        <v>512</v>
      </c>
    </row>
    <row r="120" spans="1:1" x14ac:dyDescent="0.25">
      <c r="A120" t="s">
        <v>519</v>
      </c>
    </row>
    <row r="121" spans="1:1" x14ac:dyDescent="0.25">
      <c r="A121" t="s">
        <v>520</v>
      </c>
    </row>
    <row r="122" spans="1:1" x14ac:dyDescent="0.25">
      <c r="A122" t="s">
        <v>513</v>
      </c>
    </row>
    <row r="123" spans="1:1" x14ac:dyDescent="0.25">
      <c r="A123" t="s">
        <v>514</v>
      </c>
    </row>
    <row r="124" spans="1:1" x14ac:dyDescent="0.25">
      <c r="A124" t="s">
        <v>515</v>
      </c>
    </row>
    <row r="125" spans="1:1" x14ac:dyDescent="0.25">
      <c r="A125" t="s">
        <v>516</v>
      </c>
    </row>
    <row r="127" spans="1:1" x14ac:dyDescent="0.25">
      <c r="A127" t="s">
        <v>517</v>
      </c>
    </row>
    <row r="128" spans="1:1" x14ac:dyDescent="0.25">
      <c r="A128" t="s">
        <v>518</v>
      </c>
    </row>
  </sheetData>
  <mergeCells count="2">
    <mergeCell ref="A21:E21"/>
    <mergeCell ref="A17:E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1"/>
  <sheetViews>
    <sheetView topLeftCell="G15" zoomScaleNormal="100" workbookViewId="0">
      <selection activeCell="Q31" sqref="Q31"/>
    </sheetView>
  </sheetViews>
  <sheetFormatPr defaultRowHeight="15" x14ac:dyDescent="0.25"/>
  <cols>
    <col min="3" max="3" width="12" customWidth="1"/>
    <col min="21" max="21" width="12" bestFit="1" customWidth="1"/>
    <col min="25" max="25" width="10.85546875" customWidth="1"/>
    <col min="30" max="58" width="9.140625" style="145"/>
  </cols>
  <sheetData>
    <row r="1" spans="1:53" x14ac:dyDescent="0.25">
      <c r="A1" t="s">
        <v>223</v>
      </c>
      <c r="L1" t="s">
        <v>219</v>
      </c>
      <c r="AE1" s="146" t="s">
        <v>285</v>
      </c>
    </row>
    <row r="2" spans="1:53" x14ac:dyDescent="0.25">
      <c r="A2" t="s">
        <v>625</v>
      </c>
      <c r="L2" t="s">
        <v>220</v>
      </c>
      <c r="AE2" s="146" t="s">
        <v>286</v>
      </c>
    </row>
    <row r="3" spans="1:53" x14ac:dyDescent="0.25">
      <c r="A3" t="s">
        <v>228</v>
      </c>
      <c r="L3" t="s">
        <v>257</v>
      </c>
      <c r="AE3" s="147">
        <f>A6</f>
        <v>455</v>
      </c>
      <c r="AF3" s="147" t="s">
        <v>401</v>
      </c>
      <c r="AU3" s="145" t="s">
        <v>361</v>
      </c>
    </row>
    <row r="4" spans="1:53" x14ac:dyDescent="0.25">
      <c r="A4" s="59" t="s">
        <v>225</v>
      </c>
      <c r="L4" t="s">
        <v>221</v>
      </c>
      <c r="AE4" s="145">
        <f>AE3/(1-AE6)</f>
        <v>613.70000000000005</v>
      </c>
      <c r="AF4" s="145" t="s">
        <v>400</v>
      </c>
      <c r="AU4" s="145" t="s">
        <v>362</v>
      </c>
    </row>
    <row r="5" spans="1:53" x14ac:dyDescent="0.25">
      <c r="A5" t="s">
        <v>183</v>
      </c>
      <c r="B5" t="s">
        <v>237</v>
      </c>
      <c r="L5" t="s">
        <v>222</v>
      </c>
      <c r="T5" t="s">
        <v>229</v>
      </c>
      <c r="U5">
        <v>0</v>
      </c>
      <c r="V5">
        <v>1</v>
      </c>
      <c r="W5">
        <v>2</v>
      </c>
      <c r="X5">
        <v>3</v>
      </c>
      <c r="AE5" s="148">
        <v>0.11</v>
      </c>
      <c r="AF5" s="145" t="s">
        <v>290</v>
      </c>
      <c r="AV5" s="145" t="s">
        <v>229</v>
      </c>
      <c r="AW5" s="145">
        <v>0</v>
      </c>
      <c r="AX5" s="145">
        <v>1</v>
      </c>
      <c r="AY5" s="145">
        <v>2</v>
      </c>
      <c r="AZ5" s="145">
        <v>3</v>
      </c>
    </row>
    <row r="6" spans="1:53" x14ac:dyDescent="0.25">
      <c r="A6">
        <v>455</v>
      </c>
      <c r="B6">
        <f>ParameterEstimation650MWPlant!D23</f>
        <v>455</v>
      </c>
      <c r="C6" t="s">
        <v>41</v>
      </c>
      <c r="D6" t="s">
        <v>224</v>
      </c>
      <c r="T6" s="105" t="s">
        <v>230</v>
      </c>
      <c r="AE6" s="148">
        <f>ParameterEstimation650MWPlant!H23</f>
        <v>0.25859540492097122</v>
      </c>
      <c r="AF6" s="145" t="s">
        <v>291</v>
      </c>
      <c r="AV6" s="149" t="s">
        <v>293</v>
      </c>
    </row>
    <row r="7" spans="1:53" x14ac:dyDescent="0.25">
      <c r="A7">
        <v>158.69999999999999</v>
      </c>
      <c r="B7">
        <f>ParameterEstimation650MWPlant!D22-ParameterEstimation650MWPlant!D23</f>
        <v>158.70000000000005</v>
      </c>
      <c r="C7" t="s">
        <v>41</v>
      </c>
      <c r="D7" t="s">
        <v>236</v>
      </c>
      <c r="T7" s="99" t="s">
        <v>238</v>
      </c>
      <c r="U7" s="97">
        <f>A6</f>
        <v>455</v>
      </c>
      <c r="V7" s="97">
        <f>A6</f>
        <v>455</v>
      </c>
      <c r="W7" s="97">
        <f>A6</f>
        <v>455</v>
      </c>
      <c r="X7" s="97">
        <f>A6</f>
        <v>455</v>
      </c>
      <c r="AE7" s="148">
        <f>AE6-AE5</f>
        <v>0.14859540492097123</v>
      </c>
      <c r="AF7" s="145" t="s">
        <v>292</v>
      </c>
      <c r="AV7" s="150" t="s">
        <v>295</v>
      </c>
      <c r="AW7" s="145">
        <f>AE3</f>
        <v>455</v>
      </c>
      <c r="AX7" s="145">
        <f>AE3</f>
        <v>455</v>
      </c>
      <c r="AY7" s="145">
        <f>AE3</f>
        <v>455</v>
      </c>
      <c r="AZ7" s="145">
        <f>AE3</f>
        <v>455</v>
      </c>
    </row>
    <row r="8" spans="1:53" x14ac:dyDescent="0.25">
      <c r="A8">
        <v>7431</v>
      </c>
      <c r="B8">
        <f>ParameterEstimation650MWPlant!F23</f>
        <v>7431</v>
      </c>
      <c r="C8" t="s">
        <v>42</v>
      </c>
      <c r="D8" t="s">
        <v>227</v>
      </c>
      <c r="T8" s="99" t="s">
        <v>239</v>
      </c>
      <c r="U8" s="97">
        <f>A8</f>
        <v>7431</v>
      </c>
      <c r="V8" s="97">
        <f>A8</f>
        <v>7431</v>
      </c>
      <c r="W8" s="97">
        <f>A8</f>
        <v>7431</v>
      </c>
      <c r="X8" s="97">
        <f>A8</f>
        <v>7431</v>
      </c>
      <c r="AE8" s="145">
        <f>AE3*A9/A6</f>
        <v>46.53</v>
      </c>
      <c r="AF8" s="145" t="s">
        <v>301</v>
      </c>
      <c r="AV8" s="150"/>
      <c r="AZ8" s="145">
        <f>SUM(AW7:AZ7)</f>
        <v>1820</v>
      </c>
      <c r="BA8" s="146" t="s">
        <v>305</v>
      </c>
    </row>
    <row r="9" spans="1:53" x14ac:dyDescent="0.25">
      <c r="A9">
        <v>46.53</v>
      </c>
      <c r="B9">
        <f>ParameterEstimation650MWPlant!E23</f>
        <v>46.53</v>
      </c>
      <c r="C9" t="s">
        <v>41</v>
      </c>
      <c r="D9" t="s">
        <v>166</v>
      </c>
      <c r="P9" s="59"/>
      <c r="T9" s="99" t="s">
        <v>235</v>
      </c>
      <c r="U9" s="97">
        <f>A9</f>
        <v>46.53</v>
      </c>
      <c r="V9" s="97">
        <f>A9</f>
        <v>46.53</v>
      </c>
      <c r="W9" s="97">
        <f>A9</f>
        <v>46.53</v>
      </c>
      <c r="X9" s="97">
        <f>A9</f>
        <v>46.53</v>
      </c>
      <c r="AE9" s="145">
        <f>A6/A9</f>
        <v>9.7786374382119057</v>
      </c>
      <c r="AF9" s="145" t="s">
        <v>323</v>
      </c>
      <c r="AV9" s="149" t="s">
        <v>354</v>
      </c>
    </row>
    <row r="10" spans="1:53" x14ac:dyDescent="0.25">
      <c r="A10">
        <f>A7-A9</f>
        <v>112.16999999999999</v>
      </c>
      <c r="B10" t="s">
        <v>45</v>
      </c>
      <c r="C10" t="s">
        <v>41</v>
      </c>
      <c r="D10" t="s">
        <v>231</v>
      </c>
      <c r="T10" s="99" t="s">
        <v>234</v>
      </c>
      <c r="U10" s="97">
        <f>A10</f>
        <v>112.16999999999999</v>
      </c>
      <c r="V10" s="97">
        <f>A10</f>
        <v>112.16999999999999</v>
      </c>
      <c r="W10" s="97">
        <f>A10</f>
        <v>112.16999999999999</v>
      </c>
      <c r="X10" s="97">
        <f>A10</f>
        <v>112.16999999999999</v>
      </c>
      <c r="AE10" s="148">
        <v>0.2</v>
      </c>
      <c r="AF10" s="145" t="s">
        <v>304</v>
      </c>
      <c r="AV10" s="150" t="s">
        <v>295</v>
      </c>
      <c r="AW10" s="145">
        <f>AW13*$AE$9</f>
        <v>455</v>
      </c>
      <c r="AX10" s="145">
        <f>AX13*$AE$9</f>
        <v>90.999999999999972</v>
      </c>
      <c r="AY10" s="145">
        <f>AY13*$AE$9</f>
        <v>455</v>
      </c>
      <c r="AZ10" s="145">
        <f>AZ19-AZ16</f>
        <v>454.75224004261082</v>
      </c>
    </row>
    <row r="11" spans="1:53" x14ac:dyDescent="0.25">
      <c r="A11">
        <v>2.1356E-2</v>
      </c>
      <c r="B11">
        <f>1/ParameterEstimation650MWPlant!A72</f>
        <v>2.1356479612434403E-2</v>
      </c>
      <c r="C11" t="s">
        <v>249</v>
      </c>
      <c r="D11" t="s">
        <v>248</v>
      </c>
      <c r="T11" s="99" t="s">
        <v>233</v>
      </c>
      <c r="U11" s="97">
        <f>U10+U9</f>
        <v>158.69999999999999</v>
      </c>
      <c r="V11" s="97">
        <f>V10+V9</f>
        <v>158.69999999999999</v>
      </c>
      <c r="W11" s="97">
        <f>W10+W9</f>
        <v>158.69999999999999</v>
      </c>
      <c r="X11" s="97">
        <f>X10+X9</f>
        <v>158.69999999999999</v>
      </c>
      <c r="AE11" s="145">
        <f>AE10*AE3</f>
        <v>91</v>
      </c>
      <c r="AF11" s="145" t="s">
        <v>306</v>
      </c>
      <c r="AV11" s="150" t="s">
        <v>294</v>
      </c>
      <c r="AW11" s="145">
        <v>0</v>
      </c>
      <c r="AX11" s="145">
        <f>AE30</f>
        <v>2.5622228606957329E-2</v>
      </c>
      <c r="AY11" s="145">
        <v>0</v>
      </c>
      <c r="AZ11" s="145">
        <v>0</v>
      </c>
    </row>
    <row r="12" spans="1:53" x14ac:dyDescent="0.25">
      <c r="A12">
        <v>6.123E-2</v>
      </c>
      <c r="B12">
        <f>ParameterEstimation650MWPlant!A74</f>
        <v>6.1229982505719281E-2</v>
      </c>
      <c r="C12" t="s">
        <v>249</v>
      </c>
      <c r="D12" t="s">
        <v>253</v>
      </c>
      <c r="T12" s="99" t="s">
        <v>407</v>
      </c>
      <c r="U12" s="97">
        <f>$A$6+$A$7</f>
        <v>613.70000000000005</v>
      </c>
      <c r="V12" s="97">
        <f>$A$6+$A$7</f>
        <v>613.70000000000005</v>
      </c>
      <c r="W12" s="97">
        <f>$A$6+$A$7</f>
        <v>613.70000000000005</v>
      </c>
      <c r="X12" s="97">
        <f>$A$6+$A$7</f>
        <v>613.70000000000005</v>
      </c>
      <c r="AE12" s="145">
        <f>(ParameterEstimation650MWPlant!F23/ParameterEstimation650MWPlant!E23)</f>
        <v>159.70341715022565</v>
      </c>
      <c r="AF12" s="145" t="s">
        <v>344</v>
      </c>
      <c r="AV12" s="150" t="s">
        <v>300</v>
      </c>
      <c r="AW12" s="145">
        <f>$AE$8-AW11</f>
        <v>46.53</v>
      </c>
      <c r="AX12" s="145">
        <f>$AE$8-AX11</f>
        <v>46.504377771393045</v>
      </c>
      <c r="AY12" s="145">
        <f>$AE$8-AY11</f>
        <v>46.53</v>
      </c>
      <c r="AZ12" s="145">
        <f>AZ10/AE9</f>
        <v>46.504663141060838</v>
      </c>
    </row>
    <row r="13" spans="1:53" x14ac:dyDescent="0.25">
      <c r="A13">
        <f>A10/(A9+A10)</f>
        <v>0.70680529300567108</v>
      </c>
      <c r="B13" t="s">
        <v>45</v>
      </c>
      <c r="C13" t="s">
        <v>139</v>
      </c>
      <c r="D13" t="s">
        <v>259</v>
      </c>
      <c r="X13">
        <f>SUM(U7:X7)</f>
        <v>1820</v>
      </c>
      <c r="Y13" s="59" t="s">
        <v>267</v>
      </c>
      <c r="AE13" s="145">
        <f>V52</f>
        <v>1451.8010256645821</v>
      </c>
      <c r="AF13" s="151" t="s">
        <v>386</v>
      </c>
      <c r="AV13" s="150" t="s">
        <v>388</v>
      </c>
      <c r="AW13" s="145">
        <f>AW12-AW14</f>
        <v>46.53</v>
      </c>
      <c r="AX13" s="145">
        <f>AX12-AX14</f>
        <v>9.3059999999999974</v>
      </c>
      <c r="AY13" s="145">
        <f>AY12-AY14</f>
        <v>46.53</v>
      </c>
      <c r="AZ13" s="145">
        <f>AZ12-AZ14</f>
        <v>46.504663141060838</v>
      </c>
    </row>
    <row r="14" spans="1:53" x14ac:dyDescent="0.25">
      <c r="A14">
        <f>A9/(A10+A9)</f>
        <v>0.29319470699432892</v>
      </c>
      <c r="B14" t="s">
        <v>45</v>
      </c>
      <c r="C14" t="s">
        <v>139</v>
      </c>
      <c r="D14" t="s">
        <v>260</v>
      </c>
      <c r="X14">
        <f>SUM(U12:X12)</f>
        <v>2454.8000000000002</v>
      </c>
      <c r="Y14" s="59" t="s">
        <v>408</v>
      </c>
      <c r="AG14" s="145" t="s">
        <v>387</v>
      </c>
      <c r="AV14" s="150" t="s">
        <v>389</v>
      </c>
      <c r="AW14" s="145">
        <v>0</v>
      </c>
      <c r="AX14" s="145">
        <f>AX11*AE13</f>
        <v>37.198377771393048</v>
      </c>
      <c r="AY14" s="145">
        <v>0</v>
      </c>
      <c r="AZ14" s="145">
        <v>0</v>
      </c>
    </row>
    <row r="15" spans="1:53" x14ac:dyDescent="0.25">
      <c r="A15">
        <v>9.7786299999999997</v>
      </c>
      <c r="B15">
        <f>ParameterEstimation650MWPlant!D23/ParameterEstimation650MWPlant!E23</f>
        <v>9.7786374382119057</v>
      </c>
      <c r="C15" t="s">
        <v>139</v>
      </c>
      <c r="D15" t="s">
        <v>349</v>
      </c>
      <c r="T15" s="105" t="s">
        <v>232</v>
      </c>
      <c r="U15" s="97"/>
      <c r="V15" s="97"/>
      <c r="W15" s="97"/>
      <c r="X15" s="97"/>
      <c r="Z15" s="7" t="s">
        <v>279</v>
      </c>
      <c r="AA15" s="7"/>
      <c r="AE15" s="146" t="s">
        <v>288</v>
      </c>
      <c r="AK15" s="150"/>
      <c r="AV15" s="150" t="s">
        <v>356</v>
      </c>
      <c r="AW15" s="145">
        <f>SUM(AW11:AW12)*$AE$12</f>
        <v>7430.9999999999991</v>
      </c>
      <c r="AX15" s="145">
        <f>SUM(AX11:AX12)*$AE$12</f>
        <v>7430.9999999999991</v>
      </c>
      <c r="AY15" s="145">
        <f>SUM(AY11:AY12)*$AE$12</f>
        <v>7430.9999999999991</v>
      </c>
      <c r="AZ15" s="145">
        <f>SUM(AZ11:AZ12)*$AE$12</f>
        <v>7426.9536170475621</v>
      </c>
    </row>
    <row r="16" spans="1:53" x14ac:dyDescent="0.25">
      <c r="A16">
        <v>12.10852</v>
      </c>
      <c r="B16">
        <f>ParameterEstimation650MWPlant!F23/(ParameterEstimation650MWPlant!D23+ParameterEstimation650MWPlant!A71)</f>
        <v>12.108522079191786</v>
      </c>
      <c r="C16" t="s">
        <v>372</v>
      </c>
      <c r="D16" t="s">
        <v>373</v>
      </c>
      <c r="T16" s="99" t="s">
        <v>264</v>
      </c>
      <c r="U16" s="97">
        <f>A6</f>
        <v>455</v>
      </c>
      <c r="V16" s="97">
        <f>V20*A12</f>
        <v>207.24067285714287</v>
      </c>
      <c r="W16" s="97">
        <f>A6</f>
        <v>455</v>
      </c>
      <c r="X16" s="97">
        <f>X20*A12</f>
        <v>271.31013000000002</v>
      </c>
      <c r="Y16" t="s">
        <v>281</v>
      </c>
      <c r="Z16">
        <f>Z19*A12</f>
        <v>0</v>
      </c>
      <c r="AE16" s="152" t="s">
        <v>298</v>
      </c>
      <c r="AK16" s="150"/>
      <c r="AV16" s="150" t="s">
        <v>296</v>
      </c>
      <c r="AW16" s="145">
        <v>0</v>
      </c>
      <c r="AX16" s="145">
        <v>0</v>
      </c>
      <c r="AY16" s="145">
        <v>0</v>
      </c>
      <c r="AZ16" s="145">
        <f>AX11*AE21</f>
        <v>0.33152242067210247</v>
      </c>
      <c r="BA16" s="153"/>
    </row>
    <row r="17" spans="1:53" x14ac:dyDescent="0.25">
      <c r="A17">
        <f>B17</f>
        <v>0.33143229591005374</v>
      </c>
      <c r="B17">
        <f>ParameterEstimation650MWPlant!A90</f>
        <v>0.33143229591005374</v>
      </c>
      <c r="C17" t="s">
        <v>497</v>
      </c>
      <c r="D17" t="s">
        <v>496</v>
      </c>
      <c r="T17" s="99" t="s">
        <v>265</v>
      </c>
      <c r="U17">
        <v>0</v>
      </c>
      <c r="V17">
        <v>0</v>
      </c>
      <c r="W17">
        <v>0</v>
      </c>
      <c r="X17">
        <f>$A$29*X23</f>
        <v>242.79300000000001</v>
      </c>
      <c r="Y17" t="s">
        <v>282</v>
      </c>
      <c r="Z17">
        <f>$A$29*Z21</f>
        <v>601.39826100000005</v>
      </c>
      <c r="AE17" s="148">
        <v>0.9</v>
      </c>
      <c r="AF17" s="145" t="s">
        <v>58</v>
      </c>
      <c r="AK17" s="150"/>
      <c r="AV17" s="150" t="s">
        <v>357</v>
      </c>
      <c r="AW17" s="145">
        <f>AW16/$A$29</f>
        <v>0</v>
      </c>
      <c r="AX17" s="145">
        <f>AX16/$A$29</f>
        <v>0</v>
      </c>
      <c r="AY17" s="145">
        <f>AY16/$A$29</f>
        <v>0</v>
      </c>
      <c r="AZ17" s="145">
        <f>AZ16/$A$29</f>
        <v>4.0963588819130177</v>
      </c>
    </row>
    <row r="18" spans="1:53" x14ac:dyDescent="0.25">
      <c r="T18" s="99" t="s">
        <v>266</v>
      </c>
      <c r="U18" s="59">
        <f>U17+U16</f>
        <v>455</v>
      </c>
      <c r="V18" s="59">
        <f>V17+V16</f>
        <v>207.24067285714287</v>
      </c>
      <c r="W18" s="59">
        <f>W17+W16</f>
        <v>455</v>
      </c>
      <c r="X18" s="59">
        <f>X17+X16</f>
        <v>514.10312999999996</v>
      </c>
      <c r="Y18" s="97" t="s">
        <v>278</v>
      </c>
      <c r="Z18">
        <f>Z17+Z16</f>
        <v>601.39826100000005</v>
      </c>
      <c r="AA18" s="59"/>
      <c r="AE18" s="154">
        <f>(AE17*AE5+AE7)/AE6</f>
        <v>0.95746250787649656</v>
      </c>
      <c r="AF18" s="145" t="s">
        <v>59</v>
      </c>
      <c r="AJ18" s="145">
        <f>AE19*(3.4)</f>
        <v>12.884436000000001</v>
      </c>
      <c r="AK18" s="150"/>
      <c r="AV18" s="150" t="s">
        <v>359</v>
      </c>
      <c r="AW18" s="145">
        <v>0</v>
      </c>
      <c r="AX18" s="145">
        <v>0</v>
      </c>
      <c r="AY18" s="145">
        <v>0</v>
      </c>
      <c r="AZ18" s="153">
        <f>AZ17/AY15</f>
        <v>5.5125270917952068E-4</v>
      </c>
    </row>
    <row r="19" spans="1:53" x14ac:dyDescent="0.25">
      <c r="A19" s="59" t="s">
        <v>489</v>
      </c>
      <c r="T19" s="99" t="s">
        <v>378</v>
      </c>
      <c r="U19" s="97">
        <f>A8</f>
        <v>7431</v>
      </c>
      <c r="V19" s="97">
        <f>U19-V22</f>
        <v>4431</v>
      </c>
      <c r="W19" s="97">
        <f>W8</f>
        <v>7431</v>
      </c>
      <c r="X19" s="97">
        <f>W24-X23</f>
        <v>4431</v>
      </c>
      <c r="Y19" s="97" t="s">
        <v>284</v>
      </c>
      <c r="Z19">
        <f>W24-Z21</f>
        <v>0</v>
      </c>
      <c r="AE19" s="145">
        <f>A30</f>
        <v>3.7895400000000001</v>
      </c>
      <c r="AF19" s="145" t="s">
        <v>307</v>
      </c>
      <c r="AK19" s="150"/>
      <c r="AV19" s="150" t="s">
        <v>360</v>
      </c>
      <c r="AW19" s="145">
        <f>AW18*$AE$23</f>
        <v>0</v>
      </c>
      <c r="AX19" s="145">
        <f>AX18*$AE$23</f>
        <v>0</v>
      </c>
      <c r="AY19" s="145">
        <f>AY18*$AE$23</f>
        <v>0</v>
      </c>
      <c r="AZ19" s="145">
        <f>AZ18*($AE$23-$AE$3)+$AE$3</f>
        <v>455.08376246328294</v>
      </c>
    </row>
    <row r="20" spans="1:53" x14ac:dyDescent="0.25">
      <c r="A20" t="s">
        <v>183</v>
      </c>
      <c r="B20" t="s">
        <v>237</v>
      </c>
      <c r="T20" s="99" t="s">
        <v>379</v>
      </c>
      <c r="U20">
        <f>U19</f>
        <v>7431</v>
      </c>
      <c r="V20" s="110">
        <f>V19-V21</f>
        <v>3384.6263736263736</v>
      </c>
      <c r="W20">
        <f>W19</f>
        <v>7431</v>
      </c>
      <c r="X20">
        <f>X19</f>
        <v>4431</v>
      </c>
      <c r="Y20" s="97" t="s">
        <v>457</v>
      </c>
      <c r="Z20">
        <v>0</v>
      </c>
      <c r="AF20" s="145" t="s">
        <v>321</v>
      </c>
      <c r="AK20" s="150"/>
      <c r="AV20" s="150" t="s">
        <v>358</v>
      </c>
      <c r="AW20" s="145">
        <f>AW17+AW15</f>
        <v>7430.9999999999991</v>
      </c>
      <c r="AX20" s="145">
        <f>AX17+AX15</f>
        <v>7430.9999999999991</v>
      </c>
      <c r="AY20" s="145">
        <f>AY17+AY15</f>
        <v>7430.9999999999991</v>
      </c>
      <c r="AZ20" s="145">
        <f>AZ17+AZ15</f>
        <v>7431.0499759294753</v>
      </c>
    </row>
    <row r="21" spans="1:53" x14ac:dyDescent="0.25">
      <c r="A21">
        <v>601.4</v>
      </c>
      <c r="B21">
        <f>ParameterEstimation650MWPlant!D24</f>
        <v>601.4</v>
      </c>
      <c r="C21" t="s">
        <v>41</v>
      </c>
      <c r="D21" t="s">
        <v>224</v>
      </c>
      <c r="T21" s="99" t="s">
        <v>380</v>
      </c>
      <c r="U21">
        <f>U19-U20</f>
        <v>0</v>
      </c>
      <c r="V21" s="136">
        <f>V22*$A$37</f>
        <v>1046.3736263736264</v>
      </c>
      <c r="W21">
        <f>W19-W20</f>
        <v>0</v>
      </c>
      <c r="X21">
        <f>X19-X20</f>
        <v>0</v>
      </c>
      <c r="Y21" t="s">
        <v>283</v>
      </c>
      <c r="Z21">
        <v>7431</v>
      </c>
      <c r="AA21" s="136"/>
      <c r="AE21" s="147">
        <f>AE19*(1+ParameterEstimation650MWPlant!AD14)</f>
        <v>12.938859681475272</v>
      </c>
      <c r="AF21" s="147" t="s">
        <v>324</v>
      </c>
      <c r="AK21" s="150"/>
      <c r="AV21" s="150" t="s">
        <v>302</v>
      </c>
      <c r="AW21" s="145">
        <v>0</v>
      </c>
      <c r="AX21" s="145">
        <v>0</v>
      </c>
      <c r="AY21" s="145">
        <v>0</v>
      </c>
      <c r="AZ21" s="145">
        <f>AX11</f>
        <v>2.5622228606957329E-2</v>
      </c>
    </row>
    <row r="22" spans="1:53" x14ac:dyDescent="0.25">
      <c r="A22">
        <v>7431</v>
      </c>
      <c r="B22">
        <f>ParameterEstimation650MWPlant!F24</f>
        <v>7431</v>
      </c>
      <c r="C22" t="s">
        <v>42</v>
      </c>
      <c r="D22" t="s">
        <v>227</v>
      </c>
      <c r="T22" s="99" t="s">
        <v>262</v>
      </c>
      <c r="U22" s="97">
        <v>0</v>
      </c>
      <c r="V22" s="97">
        <f>A25</f>
        <v>3000</v>
      </c>
      <c r="W22" s="97">
        <v>0</v>
      </c>
      <c r="X22" s="97">
        <v>0</v>
      </c>
      <c r="Y22" t="s">
        <v>280</v>
      </c>
      <c r="Z22">
        <f>Z19+Z21</f>
        <v>7431</v>
      </c>
      <c r="AF22" s="147" t="s">
        <v>325</v>
      </c>
      <c r="AK22" s="150"/>
      <c r="AV22" s="150" t="s">
        <v>303</v>
      </c>
      <c r="AW22" s="145">
        <v>0</v>
      </c>
      <c r="AX22" s="145">
        <v>0</v>
      </c>
      <c r="AY22" s="145">
        <v>0</v>
      </c>
      <c r="AZ22" s="145">
        <f>AZ16-AZ21</f>
        <v>0.30590019206514513</v>
      </c>
    </row>
    <row r="23" spans="1:53" x14ac:dyDescent="0.25">
      <c r="A23">
        <v>4.55</v>
      </c>
      <c r="B23">
        <f>ParameterEstimation650MWPlant!E24</f>
        <v>4.55</v>
      </c>
      <c r="C23" t="s">
        <v>41</v>
      </c>
      <c r="D23" t="s">
        <v>166</v>
      </c>
      <c r="T23" s="99" t="s">
        <v>263</v>
      </c>
      <c r="U23" s="97">
        <v>0</v>
      </c>
      <c r="V23" s="97">
        <v>0</v>
      </c>
      <c r="W23" s="97">
        <v>0</v>
      </c>
      <c r="X23" s="97">
        <f>W26</f>
        <v>3000</v>
      </c>
      <c r="Z23">
        <f>Z21</f>
        <v>7431</v>
      </c>
      <c r="AE23" s="145">
        <f>AE3+(AE4-AE3)*AE18</f>
        <v>606.94929999999999</v>
      </c>
      <c r="AF23" s="145" t="s">
        <v>308</v>
      </c>
      <c r="AV23" s="150" t="s">
        <v>322</v>
      </c>
      <c r="AW23" s="145">
        <f>AW16+AW10</f>
        <v>455</v>
      </c>
      <c r="AX23" s="145">
        <f>AX16+AX10</f>
        <v>90.999999999999972</v>
      </c>
      <c r="AY23" s="145">
        <f>AY16+AY10</f>
        <v>455</v>
      </c>
      <c r="AZ23" s="145">
        <f>AZ16+AZ10</f>
        <v>455.08376246328294</v>
      </c>
    </row>
    <row r="24" spans="1:53" x14ac:dyDescent="0.25">
      <c r="A24">
        <v>0</v>
      </c>
      <c r="B24" t="s">
        <v>45</v>
      </c>
      <c r="C24" t="s">
        <v>41</v>
      </c>
      <c r="D24" t="s">
        <v>231</v>
      </c>
      <c r="T24" s="99" t="s">
        <v>275</v>
      </c>
      <c r="U24">
        <f>U19+U23</f>
        <v>7431</v>
      </c>
      <c r="V24">
        <f>V19+V23</f>
        <v>4431</v>
      </c>
      <c r="W24">
        <f>W19+W23</f>
        <v>7431</v>
      </c>
      <c r="X24">
        <f>X19+X23</f>
        <v>7431</v>
      </c>
      <c r="Z24">
        <v>0</v>
      </c>
      <c r="AZ24" s="145">
        <f>SUM(AW23:AZ23)</f>
        <v>1456.0837624632829</v>
      </c>
      <c r="BA24" s="146" t="s">
        <v>305</v>
      </c>
    </row>
    <row r="25" spans="1:53" x14ac:dyDescent="0.25">
      <c r="A25">
        <v>3000</v>
      </c>
      <c r="B25" t="s">
        <v>45</v>
      </c>
      <c r="C25" t="s">
        <v>42</v>
      </c>
      <c r="D25" t="s">
        <v>252</v>
      </c>
      <c r="T25" s="99" t="s">
        <v>240</v>
      </c>
      <c r="U25" s="97">
        <f>A26</f>
        <v>3000</v>
      </c>
      <c r="V25" s="97">
        <f>U25-V22</f>
        <v>0</v>
      </c>
      <c r="W25" s="97">
        <f>V25</f>
        <v>0</v>
      </c>
      <c r="X25" s="97">
        <f>X23</f>
        <v>3000</v>
      </c>
      <c r="Z25" s="97">
        <f>Z19*$A$28</f>
        <v>0</v>
      </c>
      <c r="AE25" s="147" t="s">
        <v>332</v>
      </c>
      <c r="AZ25" s="145">
        <f>(AZ24-AZ8)/AZ8</f>
        <v>-0.19995397666852585</v>
      </c>
      <c r="BA25" s="146" t="s">
        <v>402</v>
      </c>
    </row>
    <row r="26" spans="1:53" x14ac:dyDescent="0.25">
      <c r="A26">
        <f>A25</f>
        <v>3000</v>
      </c>
      <c r="B26" t="s">
        <v>45</v>
      </c>
      <c r="C26" t="s">
        <v>42</v>
      </c>
      <c r="D26" t="s">
        <v>251</v>
      </c>
      <c r="T26" s="99" t="s">
        <v>241</v>
      </c>
      <c r="U26" s="97">
        <f>A27</f>
        <v>0</v>
      </c>
      <c r="V26" s="97">
        <f>U26+V22</f>
        <v>3000</v>
      </c>
      <c r="W26" s="97">
        <f>V26</f>
        <v>3000</v>
      </c>
      <c r="X26" s="97">
        <v>0</v>
      </c>
      <c r="Z26" s="97">
        <f>Z25*$A$14</f>
        <v>0</v>
      </c>
      <c r="AE26" s="145" t="s">
        <v>333</v>
      </c>
      <c r="AV26" s="149" t="s">
        <v>355</v>
      </c>
      <c r="AW26" s="152"/>
    </row>
    <row r="27" spans="1:53" x14ac:dyDescent="0.25">
      <c r="A27">
        <v>0</v>
      </c>
      <c r="B27" t="s">
        <v>45</v>
      </c>
      <c r="C27" t="s">
        <v>42</v>
      </c>
      <c r="D27" t="s">
        <v>250</v>
      </c>
      <c r="T27" s="99" t="s">
        <v>261</v>
      </c>
      <c r="U27" s="97">
        <f>U19*$A$28</f>
        <v>158.69643600000001</v>
      </c>
      <c r="V27" s="97">
        <f>V19*$A$28</f>
        <v>94.628435999999994</v>
      </c>
      <c r="W27" s="97">
        <f>W19*$A$28</f>
        <v>158.69643600000001</v>
      </c>
      <c r="X27" s="97">
        <f>X19*$A$28</f>
        <v>94.628435999999994</v>
      </c>
      <c r="Z27" s="97">
        <f>Z25*$A$13</f>
        <v>0</v>
      </c>
      <c r="AE27" s="145" t="s">
        <v>334</v>
      </c>
      <c r="AV27" s="150" t="s">
        <v>295</v>
      </c>
      <c r="AW27" s="145">
        <f>AE3</f>
        <v>455</v>
      </c>
      <c r="AX27" s="145">
        <f>AX30*$AE$9</f>
        <v>91.000000000000043</v>
      </c>
      <c r="AY27" s="145">
        <f>AE3</f>
        <v>455</v>
      </c>
      <c r="AZ27" s="145">
        <f>AE3</f>
        <v>455</v>
      </c>
    </row>
    <row r="28" spans="1:53" x14ac:dyDescent="0.25">
      <c r="A28">
        <f>A11</f>
        <v>2.1356E-2</v>
      </c>
      <c r="B28" t="s">
        <v>45</v>
      </c>
      <c r="C28" t="s">
        <v>249</v>
      </c>
      <c r="D28" t="s">
        <v>254</v>
      </c>
      <c r="T28" s="99" t="s">
        <v>244</v>
      </c>
      <c r="U28" s="97">
        <f>U27*$A$14</f>
        <v>46.528955054064276</v>
      </c>
      <c r="V28" s="97">
        <f>V27*$A$14</f>
        <v>27.744556566351605</v>
      </c>
      <c r="W28" s="97">
        <f>W27*$A$14</f>
        <v>46.528955054064276</v>
      </c>
      <c r="X28" s="97">
        <f>X27*$A$14</f>
        <v>27.744556566351605</v>
      </c>
      <c r="Z28" s="97">
        <f>Z20*$A$28</f>
        <v>0</v>
      </c>
      <c r="AE28" s="145" t="s">
        <v>335</v>
      </c>
      <c r="AV28" s="150" t="s">
        <v>294</v>
      </c>
      <c r="AW28" s="145">
        <v>0</v>
      </c>
      <c r="AX28" s="145">
        <f>AE46</f>
        <v>6.4145056288344698E-3</v>
      </c>
      <c r="AY28" s="145">
        <v>0</v>
      </c>
      <c r="AZ28" s="145">
        <v>0</v>
      </c>
    </row>
    <row r="29" spans="1:53" x14ac:dyDescent="0.25">
      <c r="A29">
        <v>8.0931000000000003E-2</v>
      </c>
      <c r="B29">
        <f>ParameterEstimation650MWPlant!A82</f>
        <v>8.0931234019647413E-2</v>
      </c>
      <c r="C29" t="s">
        <v>249</v>
      </c>
      <c r="D29" t="s">
        <v>269</v>
      </c>
      <c r="T29" s="99" t="s">
        <v>247</v>
      </c>
      <c r="U29" s="97">
        <f>U27*$A$13</f>
        <v>112.16748094593574</v>
      </c>
      <c r="V29" s="97">
        <f>V27*$A$13</f>
        <v>66.883879433648389</v>
      </c>
      <c r="W29" s="97">
        <f>W27*$A$13</f>
        <v>112.16748094593574</v>
      </c>
      <c r="X29" s="97">
        <f>X27*$A$13</f>
        <v>66.883879433648389</v>
      </c>
      <c r="Z29" s="97">
        <f>Z28*$A$14</f>
        <v>0</v>
      </c>
      <c r="AE29" s="152" t="s">
        <v>336</v>
      </c>
      <c r="AV29" s="150" t="s">
        <v>300</v>
      </c>
      <c r="AW29" s="145">
        <f>$AE$8-AW28*$AE$47</f>
        <v>46.53</v>
      </c>
      <c r="AX29" s="145">
        <f>$AE$8-AX28*$AE$47</f>
        <v>46.504377771393045</v>
      </c>
      <c r="AY29" s="145">
        <f>$AE$8-AY28*$AE$47</f>
        <v>46.53</v>
      </c>
      <c r="AZ29" s="145">
        <f>$AE$8-AZ28*$AE$47</f>
        <v>46.53</v>
      </c>
    </row>
    <row r="30" spans="1:53" x14ac:dyDescent="0.25">
      <c r="A30">
        <v>3.7895400000000001</v>
      </c>
      <c r="B30">
        <f>ParameterEstimation650MWPlant!A84</f>
        <v>3.789540012602393</v>
      </c>
      <c r="C30" t="s">
        <v>139</v>
      </c>
      <c r="D30" t="s">
        <v>255</v>
      </c>
      <c r="T30" s="99" t="s">
        <v>384</v>
      </c>
      <c r="U30">
        <f>U21*$A$28*$A$14</f>
        <v>0</v>
      </c>
      <c r="V30">
        <f>V21*$A$28*$A$14</f>
        <v>6.5518330549450559</v>
      </c>
      <c r="W30">
        <f>W21*$A$28*$A$14</f>
        <v>0</v>
      </c>
      <c r="X30">
        <f>X21*$A$28*$A$14</f>
        <v>0</v>
      </c>
      <c r="AE30" s="146">
        <f>AE8*(1-AE10)/(1+AE13)</f>
        <v>2.5622228606957329E-2</v>
      </c>
      <c r="AF30" s="145" t="s">
        <v>287</v>
      </c>
      <c r="AH30" s="145" t="s">
        <v>346</v>
      </c>
      <c r="AV30" s="150" t="s">
        <v>388</v>
      </c>
      <c r="AW30" s="145">
        <f>AW29-AW31</f>
        <v>46.53</v>
      </c>
      <c r="AX30" s="145">
        <f>AX29-AX31</f>
        <v>9.3060000000000045</v>
      </c>
      <c r="AY30" s="145">
        <f>AY29-AY31</f>
        <v>46.53</v>
      </c>
      <c r="AZ30" s="145">
        <f>AZ29-AZ31</f>
        <v>46.53</v>
      </c>
    </row>
    <row r="31" spans="1:53" x14ac:dyDescent="0.25">
      <c r="A31">
        <f>A26*A28</f>
        <v>64.067999999999998</v>
      </c>
      <c r="B31" t="s">
        <v>45</v>
      </c>
      <c r="C31" t="s">
        <v>199</v>
      </c>
      <c r="D31" t="s">
        <v>256</v>
      </c>
      <c r="T31" s="99" t="s">
        <v>258</v>
      </c>
      <c r="U31" s="97">
        <f>U22*$A$28</f>
        <v>0</v>
      </c>
      <c r="V31" s="97">
        <f>V22*$A$28</f>
        <v>64.067999999999998</v>
      </c>
      <c r="W31" s="97">
        <f>W22*$A$28</f>
        <v>0</v>
      </c>
      <c r="X31" s="97">
        <f>X22*$A$28</f>
        <v>0</v>
      </c>
      <c r="Z31" s="97">
        <f>Z28*$A$13</f>
        <v>0</v>
      </c>
      <c r="AF31" s="145" t="s">
        <v>309</v>
      </c>
      <c r="AV31" s="150" t="s">
        <v>389</v>
      </c>
      <c r="AW31" s="145">
        <v>0</v>
      </c>
      <c r="AX31" s="145">
        <f>AX28*AE13*AE47</f>
        <v>37.198377771393041</v>
      </c>
      <c r="AY31" s="145">
        <v>0</v>
      </c>
      <c r="AZ31" s="145">
        <v>0</v>
      </c>
    </row>
    <row r="32" spans="1:53" x14ac:dyDescent="0.25">
      <c r="A32">
        <f>B32</f>
        <v>0.33821084137013635</v>
      </c>
      <c r="B32">
        <f>ParameterEstimation650MWPlant!A87</f>
        <v>0.33821084137013635</v>
      </c>
      <c r="C32" t="s">
        <v>135</v>
      </c>
      <c r="D32" t="s">
        <v>501</v>
      </c>
      <c r="T32" s="99" t="s">
        <v>245</v>
      </c>
      <c r="U32" s="97">
        <f>U31*$A$14</f>
        <v>0</v>
      </c>
      <c r="V32" s="97">
        <f>V31*$A$14</f>
        <v>18.784398487712664</v>
      </c>
      <c r="W32" s="97">
        <f>W31*$A$14</f>
        <v>0</v>
      </c>
      <c r="X32" s="97">
        <f>X31*$A$14</f>
        <v>0</v>
      </c>
      <c r="Z32" s="97">
        <f>Z29+Z26</f>
        <v>0</v>
      </c>
      <c r="AF32" s="145" t="s">
        <v>310</v>
      </c>
      <c r="AV32" s="150" t="s">
        <v>296</v>
      </c>
      <c r="AW32" s="145">
        <v>0</v>
      </c>
      <c r="AX32" s="145">
        <v>0</v>
      </c>
      <c r="AY32" s="145">
        <v>0</v>
      </c>
      <c r="AZ32" s="145">
        <f>AX28*AE21</f>
        <v>8.2996388257522508E-2</v>
      </c>
    </row>
    <row r="33" spans="1:56" x14ac:dyDescent="0.25">
      <c r="T33" s="99" t="s">
        <v>246</v>
      </c>
      <c r="U33" s="97">
        <f>U31*$A$13</f>
        <v>0</v>
      </c>
      <c r="V33" s="97">
        <f>V31*$A$13</f>
        <v>45.283601512287333</v>
      </c>
      <c r="W33" s="97">
        <f>W31*$A$13</f>
        <v>0</v>
      </c>
      <c r="X33" s="97">
        <f>X31*$A$13</f>
        <v>0</v>
      </c>
      <c r="Z33" s="97">
        <f>Z31+Z27</f>
        <v>0</v>
      </c>
      <c r="AE33" s="145">
        <f>AE23/A29</f>
        <v>7499.5897740050159</v>
      </c>
      <c r="AF33" s="145" t="s">
        <v>340</v>
      </c>
      <c r="AV33" s="150" t="s">
        <v>302</v>
      </c>
      <c r="AW33" s="145">
        <v>0</v>
      </c>
      <c r="AX33" s="145">
        <v>0</v>
      </c>
      <c r="AY33" s="145">
        <v>0</v>
      </c>
      <c r="AZ33" s="145">
        <f>AX28</f>
        <v>6.4145056288344698E-3</v>
      </c>
    </row>
    <row r="34" spans="1:56" x14ac:dyDescent="0.25">
      <c r="A34" s="59" t="s">
        <v>490</v>
      </c>
      <c r="T34" s="99" t="s">
        <v>242</v>
      </c>
      <c r="U34" s="97">
        <f t="shared" ref="U34:X35" si="0">U32+U28</f>
        <v>46.528955054064276</v>
      </c>
      <c r="V34" s="97">
        <f t="shared" si="0"/>
        <v>46.528955054064269</v>
      </c>
      <c r="W34" s="97">
        <f t="shared" si="0"/>
        <v>46.528955054064276</v>
      </c>
      <c r="X34" s="97">
        <f t="shared" si="0"/>
        <v>27.744556566351605</v>
      </c>
      <c r="Z34" s="97">
        <f>Z33+Z32</f>
        <v>0</v>
      </c>
      <c r="AE34" s="145">
        <f>AE30*AE12</f>
        <v>4.0919574635353513</v>
      </c>
      <c r="AF34" s="145" t="s">
        <v>341</v>
      </c>
      <c r="AV34" s="150" t="s">
        <v>303</v>
      </c>
      <c r="AW34" s="145">
        <v>0</v>
      </c>
      <c r="AX34" s="145">
        <v>0</v>
      </c>
      <c r="AY34" s="145">
        <v>0</v>
      </c>
      <c r="AZ34" s="145">
        <f>AZ32-AZ33</f>
        <v>7.6581882628688036E-2</v>
      </c>
    </row>
    <row r="35" spans="1:56" x14ac:dyDescent="0.25">
      <c r="A35" t="s">
        <v>183</v>
      </c>
      <c r="B35" t="s">
        <v>237</v>
      </c>
      <c r="T35" s="99" t="s">
        <v>243</v>
      </c>
      <c r="U35" s="97">
        <f t="shared" si="0"/>
        <v>112.16748094593574</v>
      </c>
      <c r="V35" s="97">
        <f t="shared" si="0"/>
        <v>112.16748094593572</v>
      </c>
      <c r="W35" s="97">
        <f t="shared" si="0"/>
        <v>112.16748094593574</v>
      </c>
      <c r="X35" s="97">
        <f t="shared" si="0"/>
        <v>66.883879433648389</v>
      </c>
      <c r="AG35" s="145" t="s">
        <v>342</v>
      </c>
      <c r="AV35" s="150" t="s">
        <v>322</v>
      </c>
      <c r="AW35" s="145">
        <f>AW27+AW32</f>
        <v>455</v>
      </c>
      <c r="AX35" s="145">
        <f>AX27+AX32</f>
        <v>91.000000000000043</v>
      </c>
      <c r="AY35" s="145">
        <f>AY27+AY32</f>
        <v>455</v>
      </c>
      <c r="AZ35" s="145">
        <f>AZ27+AZ32</f>
        <v>455.08299638825753</v>
      </c>
    </row>
    <row r="36" spans="1:56" x14ac:dyDescent="0.25">
      <c r="A36">
        <f>B36</f>
        <v>0.34879120879120878</v>
      </c>
      <c r="B36">
        <f>ParameterEstimation650MWPlant!A102</f>
        <v>0.34879120879120878</v>
      </c>
      <c r="C36" t="s">
        <v>139</v>
      </c>
      <c r="D36" s="10" t="s">
        <v>474</v>
      </c>
      <c r="T36" s="99" t="s">
        <v>233</v>
      </c>
      <c r="U36" s="97">
        <f>U35+U34</f>
        <v>158.69643600000001</v>
      </c>
      <c r="V36" s="97">
        <f>V35+V34</f>
        <v>158.69643600000001</v>
      </c>
      <c r="W36" s="97">
        <f>W35+W34</f>
        <v>158.69643600000001</v>
      </c>
      <c r="X36" s="97">
        <f>X35+X34</f>
        <v>94.628435999999994</v>
      </c>
      <c r="AG36" s="145" t="s">
        <v>343</v>
      </c>
      <c r="AZ36" s="145">
        <f>SUM(AW35:AZ35)</f>
        <v>1456.0829963882575</v>
      </c>
      <c r="BA36" s="146" t="s">
        <v>305</v>
      </c>
    </row>
    <row r="37" spans="1:56" x14ac:dyDescent="0.25">
      <c r="A37">
        <f>B37</f>
        <v>0.34879120879120878</v>
      </c>
      <c r="B37">
        <f>ParameterEstimation650MWPlant!A102</f>
        <v>0.34879120879120878</v>
      </c>
      <c r="C37" t="s">
        <v>499</v>
      </c>
      <c r="D37" s="10" t="s">
        <v>468</v>
      </c>
      <c r="T37" s="99" t="s">
        <v>374</v>
      </c>
      <c r="U37">
        <f>U16+U17+U36</f>
        <v>613.69643599999995</v>
      </c>
      <c r="V37">
        <f>V16+V17+V36</f>
        <v>365.9371088571429</v>
      </c>
      <c r="W37">
        <f>W16+W17+W36</f>
        <v>613.69643599999995</v>
      </c>
      <c r="X37">
        <f>X16+X17+X36</f>
        <v>608.73156599999993</v>
      </c>
      <c r="AE37" s="153">
        <f>AE34/AE33</f>
        <v>5.4562417236724643E-4</v>
      </c>
      <c r="AF37" s="145" t="s">
        <v>345</v>
      </c>
    </row>
    <row r="38" spans="1:56" x14ac:dyDescent="0.25">
      <c r="A38">
        <f>B38</f>
        <v>7.0782270705053883E-3</v>
      </c>
      <c r="B38">
        <f>ParameterEstimation650MWPlant!A93</f>
        <v>7.0782270705053883E-3</v>
      </c>
      <c r="C38" t="s">
        <v>498</v>
      </c>
      <c r="D38" t="s">
        <v>491</v>
      </c>
      <c r="T38" s="99" t="s">
        <v>376</v>
      </c>
      <c r="U38">
        <f>U37*$A$16</f>
        <v>7430.9555692347194</v>
      </c>
      <c r="V38">
        <f>V37*$A$16</f>
        <v>4430.9568013388925</v>
      </c>
      <c r="W38">
        <f>W37*$A$16</f>
        <v>7430.9555692347194</v>
      </c>
      <c r="X38" t="s">
        <v>377</v>
      </c>
    </row>
    <row r="39" spans="1:56" x14ac:dyDescent="0.25">
      <c r="T39" s="99" t="s">
        <v>375</v>
      </c>
      <c r="U39" s="110">
        <f>U38-U24</f>
        <v>-4.4430765280594642E-2</v>
      </c>
      <c r="V39" s="110">
        <f>V38-V24</f>
        <v>-4.3198661107453518E-2</v>
      </c>
      <c r="W39" s="110">
        <f>W38-W24</f>
        <v>-4.4430765280594642E-2</v>
      </c>
      <c r="X39" s="110" t="s">
        <v>377</v>
      </c>
      <c r="AE39" s="152" t="s">
        <v>337</v>
      </c>
      <c r="AY39" s="149" t="s">
        <v>311</v>
      </c>
    </row>
    <row r="40" spans="1:56" x14ac:dyDescent="0.25">
      <c r="T40" s="99" t="s">
        <v>492</v>
      </c>
      <c r="U40">
        <f>U16*$A$17</f>
        <v>150.80169463907444</v>
      </c>
      <c r="V40">
        <f>V16*$A$17</f>
        <v>68.686252010987218</v>
      </c>
      <c r="W40">
        <f>W16*$A$17</f>
        <v>150.80169463907444</v>
      </c>
      <c r="X40">
        <f>X16*$A$17</f>
        <v>89.92093928955515</v>
      </c>
      <c r="AE40" s="145">
        <f>AE23-AE3</f>
        <v>151.94929999999999</v>
      </c>
      <c r="AF40" s="145" t="s">
        <v>326</v>
      </c>
      <c r="AY40" s="150" t="s">
        <v>295</v>
      </c>
      <c r="AZ40" s="145">
        <f>AE3</f>
        <v>455</v>
      </c>
      <c r="BA40" s="145">
        <f>BA43*AE9</f>
        <v>454.93727487511023</v>
      </c>
      <c r="BB40" s="145">
        <f>AE3</f>
        <v>455</v>
      </c>
      <c r="BC40" s="145">
        <f>AE3</f>
        <v>455</v>
      </c>
    </row>
    <row r="41" spans="1:56" x14ac:dyDescent="0.25">
      <c r="T41" s="99" t="s">
        <v>493</v>
      </c>
      <c r="U41">
        <f>U19*$A$38</f>
        <v>52.598305360925544</v>
      </c>
      <c r="V41">
        <f>V19*$A$38</f>
        <v>31.363624149409375</v>
      </c>
      <c r="W41">
        <f>W19*$A$38</f>
        <v>52.598305360925544</v>
      </c>
      <c r="X41">
        <f>X19*$A$38</f>
        <v>31.363624149409375</v>
      </c>
      <c r="AE41" s="147">
        <f>AE40/A29</f>
        <v>1877.5166499857903</v>
      </c>
      <c r="AF41" s="147" t="s">
        <v>327</v>
      </c>
      <c r="AY41" s="150" t="s">
        <v>294</v>
      </c>
      <c r="AZ41" s="145">
        <v>0</v>
      </c>
      <c r="BA41" s="145">
        <f>AE46</f>
        <v>6.4145056288344698E-3</v>
      </c>
      <c r="BB41" s="145">
        <v>0</v>
      </c>
      <c r="BC41" s="145">
        <v>0</v>
      </c>
      <c r="BD41" s="145" t="s">
        <v>312</v>
      </c>
    </row>
    <row r="42" spans="1:56" x14ac:dyDescent="0.25">
      <c r="T42" s="99" t="s">
        <v>494</v>
      </c>
      <c r="U42">
        <f>U22*$A$38</f>
        <v>0</v>
      </c>
      <c r="V42">
        <f>V22*$A$38</f>
        <v>21.234681211516165</v>
      </c>
      <c r="W42">
        <f>W22*$A$38</f>
        <v>0</v>
      </c>
      <c r="X42">
        <f>X22*$A$38</f>
        <v>0</v>
      </c>
      <c r="AE42" s="145">
        <f>AE41*A28</f>
        <v>40.096245577096539</v>
      </c>
      <c r="AF42" s="145" t="s">
        <v>328</v>
      </c>
      <c r="AY42" s="150" t="s">
        <v>313</v>
      </c>
      <c r="AZ42" s="145">
        <f>AZ41*ParameterEstimation650MWPlant!$AD$14</f>
        <v>0</v>
      </c>
      <c r="BA42" s="145">
        <f>BA41*AE47*ParameterEstimation650MWPlant!$AD$14</f>
        <v>6.186132366379387E-2</v>
      </c>
      <c r="BB42" s="145">
        <f>BB41*ParameterEstimation650MWPlant!$AD$14</f>
        <v>0</v>
      </c>
      <c r="BC42" s="145">
        <f>BC41*ParameterEstimation650MWPlant!$AD$14</f>
        <v>0</v>
      </c>
    </row>
    <row r="43" spans="1:56" x14ac:dyDescent="0.25">
      <c r="T43" s="99" t="s">
        <v>502</v>
      </c>
      <c r="U43">
        <f>U17*$A$32</f>
        <v>0</v>
      </c>
      <c r="V43">
        <f>V17*$A$32</f>
        <v>0</v>
      </c>
      <c r="W43">
        <f>W17*$A$32</f>
        <v>0</v>
      </c>
      <c r="X43">
        <f>X17*$A$32</f>
        <v>82.115224808779516</v>
      </c>
      <c r="AG43" s="145" t="s">
        <v>329</v>
      </c>
      <c r="AY43" s="150" t="s">
        <v>300</v>
      </c>
      <c r="AZ43" s="145">
        <f>$AE$8-AZ41</f>
        <v>46.53</v>
      </c>
      <c r="BA43" s="145">
        <f>$AE$8-BA41</f>
        <v>46.523585494371169</v>
      </c>
      <c r="BB43" s="145">
        <f>$AE$8-BB41</f>
        <v>46.53</v>
      </c>
      <c r="BC43" s="145">
        <f>$AE$8-BC41</f>
        <v>46.53</v>
      </c>
      <c r="BD43" s="145" t="s">
        <v>312</v>
      </c>
    </row>
    <row r="44" spans="1:56" x14ac:dyDescent="0.25">
      <c r="T44" s="99" t="s">
        <v>495</v>
      </c>
      <c r="U44">
        <f>SUM(U40:U43)</f>
        <v>203.39999999999998</v>
      </c>
      <c r="V44">
        <f>SUM(V40:V43)</f>
        <v>121.28455737191275</v>
      </c>
      <c r="W44">
        <f>SUM(W40:W43)</f>
        <v>203.39999999999998</v>
      </c>
      <c r="X44">
        <f>SUM(X40:X43)</f>
        <v>203.39978824774403</v>
      </c>
      <c r="AG44" s="145" t="s">
        <v>330</v>
      </c>
      <c r="AY44" s="150" t="s">
        <v>314</v>
      </c>
      <c r="AZ44" s="145">
        <f>AZ43*ParameterEstimation650MWPlant!$AD$14</f>
        <v>112.34024308466051</v>
      </c>
      <c r="BA44" s="145">
        <f>BA43*ParameterEstimation650MWPlant!$AD$14</f>
        <v>112.32475614888551</v>
      </c>
      <c r="BB44" s="145">
        <f>BB43*ParameterEstimation650MWPlant!$AD$14</f>
        <v>112.34024308466051</v>
      </c>
      <c r="BC44" s="145">
        <f>BC43*ParameterEstimation650MWPlant!$AD$14</f>
        <v>112.34024308466051</v>
      </c>
    </row>
    <row r="45" spans="1:56" x14ac:dyDescent="0.25">
      <c r="X45">
        <f>SUM(U18:X18)+V49</f>
        <v>1879.1031299999997</v>
      </c>
      <c r="Y45" s="59" t="s">
        <v>276</v>
      </c>
      <c r="AE45" s="147">
        <f>AE41*(A9/A8)</f>
        <v>11.756270989616313</v>
      </c>
      <c r="AF45" s="145" t="s">
        <v>331</v>
      </c>
      <c r="AY45" s="150" t="s">
        <v>316</v>
      </c>
      <c r="AZ45" s="145">
        <f>(AZ41+AZ42)/$A$11</f>
        <v>0</v>
      </c>
      <c r="BA45" s="145">
        <f>(BA41+BA42)/$A$11</f>
        <v>3.1970326509003715</v>
      </c>
      <c r="BB45" s="145">
        <f>(BB41+BB42)/$A$11</f>
        <v>0</v>
      </c>
      <c r="BC45" s="145">
        <f>(BC41+BC42)/$A$11</f>
        <v>0</v>
      </c>
    </row>
    <row r="46" spans="1:56" x14ac:dyDescent="0.25">
      <c r="T46" s="99" t="s">
        <v>582</v>
      </c>
      <c r="V46">
        <f>U44-V44</f>
        <v>82.115442628087223</v>
      </c>
      <c r="X46">
        <f>X45-X13</f>
        <v>59.103129999999737</v>
      </c>
      <c r="Y46" s="59" t="s">
        <v>405</v>
      </c>
      <c r="AE46" s="146">
        <f>AE45*AE37</f>
        <v>6.4145056288344698E-3</v>
      </c>
      <c r="AF46" s="145" t="s">
        <v>347</v>
      </c>
      <c r="AY46" s="150" t="s">
        <v>317</v>
      </c>
      <c r="AZ46" s="145">
        <f>(AZ44+AZ43)/$A$11</f>
        <v>7439.1385598735951</v>
      </c>
      <c r="BA46" s="145">
        <f>(BA44+BA43)/$A$11</f>
        <v>7438.1130194444968</v>
      </c>
      <c r="BB46" s="145">
        <f>(BB44+BB43)/$A$11</f>
        <v>7439.1385598735951</v>
      </c>
      <c r="BC46" s="145">
        <f>(BC44+BC43)/$A$11</f>
        <v>7439.1385598735951</v>
      </c>
    </row>
    <row r="47" spans="1:56" x14ac:dyDescent="0.25">
      <c r="T47" s="99" t="s">
        <v>583</v>
      </c>
      <c r="V47">
        <f>V46*O48</f>
        <v>145.1801025664582</v>
      </c>
      <c r="X47" s="133">
        <f>X46/X13</f>
        <v>3.2474247252747106E-2</v>
      </c>
      <c r="Y47" s="59" t="s">
        <v>406</v>
      </c>
      <c r="AE47" s="145">
        <f>AE30/AE46</f>
        <v>3.9944198492523491</v>
      </c>
      <c r="AF47" s="145" t="s">
        <v>352</v>
      </c>
      <c r="AY47" s="150" t="s">
        <v>320</v>
      </c>
      <c r="AZ47" s="145">
        <v>0</v>
      </c>
      <c r="BA47" s="145">
        <v>0</v>
      </c>
      <c r="BB47" s="145">
        <v>0</v>
      </c>
      <c r="BC47" s="145">
        <f>BA45</f>
        <v>3.1970326509003715</v>
      </c>
    </row>
    <row r="48" spans="1:56" x14ac:dyDescent="0.25">
      <c r="N48" s="99" t="s">
        <v>584</v>
      </c>
      <c r="O48">
        <v>1.768</v>
      </c>
      <c r="T48" s="99"/>
      <c r="Y48" s="59"/>
      <c r="AE48" s="146">
        <f>AE47*A15</f>
        <v>39.059953770494495</v>
      </c>
      <c r="AF48" s="145" t="s">
        <v>348</v>
      </c>
      <c r="AY48" s="150" t="s">
        <v>319</v>
      </c>
      <c r="AZ48" s="145">
        <f>AZ46*$A$12</f>
        <v>455.49845402106024</v>
      </c>
      <c r="BA48" s="145">
        <f>BA46*$A$12</f>
        <v>455.43566018058652</v>
      </c>
      <c r="BB48" s="145">
        <f>BB46*$A$12</f>
        <v>455.49845402106024</v>
      </c>
      <c r="BC48" s="145">
        <f>BC46*$A$12</f>
        <v>455.49845402106024</v>
      </c>
    </row>
    <row r="49" spans="14:56" x14ac:dyDescent="0.25">
      <c r="T49" s="99" t="s">
        <v>585</v>
      </c>
      <c r="V49">
        <f>V46*(U16/U40)</f>
        <v>247.75932714285713</v>
      </c>
      <c r="X49" t="s">
        <v>586</v>
      </c>
      <c r="AE49" s="145">
        <f>AE3-(AE48*AE46)</f>
        <v>454.74944970667713</v>
      </c>
      <c r="AF49" s="145" t="s">
        <v>350</v>
      </c>
      <c r="AY49" s="150" t="s">
        <v>318</v>
      </c>
      <c r="AZ49" s="145">
        <f>AZ47*$A$29</f>
        <v>0</v>
      </c>
      <c r="BA49" s="145">
        <f>BA47*$A$29</f>
        <v>0</v>
      </c>
      <c r="BB49" s="145">
        <f>BB47*$A$29</f>
        <v>0</v>
      </c>
      <c r="BC49" s="146">
        <f>BC47*$A$29</f>
        <v>0.25873904947001797</v>
      </c>
      <c r="BD49" s="145">
        <f>SUM(BA41:BA42)*AE19</f>
        <v>0.2587339861375868</v>
      </c>
    </row>
    <row r="50" spans="14:56" x14ac:dyDescent="0.25">
      <c r="N50" s="99" t="s">
        <v>588</v>
      </c>
      <c r="O50">
        <v>65</v>
      </c>
      <c r="T50" s="99" t="s">
        <v>587</v>
      </c>
      <c r="V50">
        <f>V49*O50</f>
        <v>16104.356264285714</v>
      </c>
      <c r="X50" s="110"/>
      <c r="AF50" s="145" t="s">
        <v>351</v>
      </c>
      <c r="AZ50" s="145">
        <f>SUM(AZ40:AZ44)</f>
        <v>613.8702430846605</v>
      </c>
      <c r="BA50" s="145">
        <f>SUM(BA40:BA44)</f>
        <v>613.85389234765944</v>
      </c>
      <c r="BB50" s="145">
        <f>SUM(BB40:BB44)</f>
        <v>613.8702430846605</v>
      </c>
      <c r="BC50" s="145">
        <f>SUM(BC40:BC44)</f>
        <v>613.8702430846605</v>
      </c>
    </row>
    <row r="51" spans="14:56" x14ac:dyDescent="0.25">
      <c r="N51" s="99" t="s">
        <v>590</v>
      </c>
      <c r="O51">
        <v>10</v>
      </c>
      <c r="T51" s="99" t="s">
        <v>596</v>
      </c>
      <c r="V51">
        <f>V46*O56</f>
        <v>10740.699895753809</v>
      </c>
      <c r="AG51" s="145">
        <f>AE10*AE3</f>
        <v>91</v>
      </c>
      <c r="AY51" s="150" t="s">
        <v>296</v>
      </c>
      <c r="AZ51" s="145">
        <v>0</v>
      </c>
      <c r="BA51" s="145">
        <v>0</v>
      </c>
      <c r="BB51" s="145">
        <v>0</v>
      </c>
      <c r="BC51" s="145">
        <f>SUM(BA41:BA42)*AE19</f>
        <v>0.2587339861375868</v>
      </c>
      <c r="BD51" s="153"/>
    </row>
    <row r="52" spans="14:56" x14ac:dyDescent="0.25">
      <c r="T52" s="99" t="s">
        <v>589</v>
      </c>
      <c r="V52" s="10">
        <f>V47*O51</f>
        <v>1451.8010256645821</v>
      </c>
      <c r="AY52" s="150" t="s">
        <v>302</v>
      </c>
      <c r="AZ52" s="145">
        <v>0</v>
      </c>
      <c r="BA52" s="145">
        <v>0</v>
      </c>
      <c r="BB52" s="145">
        <v>0</v>
      </c>
      <c r="BC52" s="145">
        <f>AE30</f>
        <v>2.5622228606957329E-2</v>
      </c>
    </row>
    <row r="53" spans="14:56" x14ac:dyDescent="0.25">
      <c r="N53" s="99" t="s">
        <v>591</v>
      </c>
      <c r="O53">
        <v>50</v>
      </c>
      <c r="T53" s="99" t="s">
        <v>597</v>
      </c>
      <c r="V53" s="125">
        <f>V50-V51-V52</f>
        <v>3911.8553428673231</v>
      </c>
      <c r="W53" s="59" t="s">
        <v>598</v>
      </c>
      <c r="AE53" s="152" t="s">
        <v>289</v>
      </c>
      <c r="AY53" s="150" t="s">
        <v>303</v>
      </c>
      <c r="AZ53" s="145">
        <v>0</v>
      </c>
      <c r="BA53" s="145">
        <v>0</v>
      </c>
      <c r="BB53" s="145">
        <v>0</v>
      </c>
      <c r="BC53" s="145">
        <f>BC51-BC52</f>
        <v>0.23311175753062946</v>
      </c>
    </row>
    <row r="54" spans="14:56" x14ac:dyDescent="0.25">
      <c r="N54" s="99" t="s">
        <v>592</v>
      </c>
      <c r="O54">
        <v>13080</v>
      </c>
      <c r="T54" s="99"/>
      <c r="AE54" s="146">
        <f>(AE23-AE3)-AE46</f>
        <v>151.94288549437115</v>
      </c>
      <c r="AF54" s="145" t="s">
        <v>287</v>
      </c>
      <c r="AY54" s="150" t="s">
        <v>297</v>
      </c>
      <c r="AZ54" s="145">
        <f>AZ51-AZ41+AZ40</f>
        <v>455</v>
      </c>
      <c r="BA54" s="145">
        <f>BA51-BA41+BA40</f>
        <v>454.93086036948142</v>
      </c>
      <c r="BB54" s="145">
        <f>BB51-BB41+BB40</f>
        <v>455</v>
      </c>
      <c r="BC54" s="145">
        <f>BC51-BC41+BC40</f>
        <v>455.2587339861376</v>
      </c>
    </row>
    <row r="55" spans="14:56" x14ac:dyDescent="0.25">
      <c r="N55" s="99" t="s">
        <v>593</v>
      </c>
      <c r="O55">
        <v>5</v>
      </c>
      <c r="T55" s="99"/>
      <c r="AE55" s="145">
        <f>AE54/AE46</f>
        <v>23687.388286223941</v>
      </c>
      <c r="AF55" s="145" t="s">
        <v>353</v>
      </c>
      <c r="BC55" s="145">
        <f>SUM(AZ54:BC54)</f>
        <v>1820.1895943556192</v>
      </c>
      <c r="BD55" s="146" t="s">
        <v>305</v>
      </c>
    </row>
    <row r="56" spans="14:56" x14ac:dyDescent="0.25">
      <c r="N56" s="99" t="s">
        <v>594</v>
      </c>
      <c r="O56">
        <f>O54/1000000*O55*2000</f>
        <v>130.80000000000001</v>
      </c>
      <c r="P56" t="s">
        <v>595</v>
      </c>
      <c r="T56" s="99"/>
    </row>
    <row r="57" spans="14:56" x14ac:dyDescent="0.25">
      <c r="T57" s="113" t="s">
        <v>601</v>
      </c>
      <c r="X57" s="112"/>
    </row>
    <row r="58" spans="14:56" x14ac:dyDescent="0.25">
      <c r="T58" t="s">
        <v>599</v>
      </c>
    </row>
    <row r="59" spans="14:56" x14ac:dyDescent="0.25">
      <c r="T59" t="s">
        <v>600</v>
      </c>
      <c r="X59" s="59"/>
    </row>
    <row r="60" spans="14:56" x14ac:dyDescent="0.25">
      <c r="T60" s="99" t="s">
        <v>603</v>
      </c>
      <c r="U60">
        <f>V46*4.7</f>
        <v>385.94258035200994</v>
      </c>
      <c r="X60" s="99"/>
    </row>
    <row r="61" spans="14:56" x14ac:dyDescent="0.25">
      <c r="T61" s="99" t="s">
        <v>604</v>
      </c>
      <c r="U61">
        <f>U60*365</f>
        <v>140869.04182848363</v>
      </c>
      <c r="X61" s="99"/>
      <c r="Y61" s="97"/>
    </row>
    <row r="62" spans="14:56" x14ac:dyDescent="0.25">
      <c r="T62" s="99" t="s">
        <v>602</v>
      </c>
      <c r="U62">
        <f>U61*O48</f>
        <v>249056.46595275906</v>
      </c>
      <c r="X62" s="99"/>
    </row>
    <row r="63" spans="14:56" x14ac:dyDescent="0.25">
      <c r="T63" s="113" t="s">
        <v>611</v>
      </c>
      <c r="X63" s="99"/>
    </row>
    <row r="64" spans="14:56" x14ac:dyDescent="0.25">
      <c r="T64" s="113" t="s">
        <v>612</v>
      </c>
      <c r="X64" s="99"/>
    </row>
    <row r="65" spans="20:22" x14ac:dyDescent="0.25">
      <c r="T65" s="99" t="s">
        <v>613</v>
      </c>
      <c r="U65">
        <f>13.19*U62</f>
        <v>3285054.7859168919</v>
      </c>
    </row>
    <row r="66" spans="20:22" x14ac:dyDescent="0.25">
      <c r="T66" s="99"/>
    </row>
    <row r="67" spans="20:22" x14ac:dyDescent="0.25">
      <c r="T67" s="99" t="s">
        <v>606</v>
      </c>
      <c r="U67">
        <f>24496830470</f>
        <v>24496830470</v>
      </c>
      <c r="V67" t="s">
        <v>605</v>
      </c>
    </row>
    <row r="68" spans="20:22" x14ac:dyDescent="0.25">
      <c r="T68" s="99" t="s">
        <v>607</v>
      </c>
      <c r="U68">
        <v>309267797895</v>
      </c>
      <c r="V68" t="s">
        <v>605</v>
      </c>
    </row>
    <row r="69" spans="20:22" x14ac:dyDescent="0.25">
      <c r="T69" s="99" t="s">
        <v>608</v>
      </c>
      <c r="U69">
        <f>(U68+U67)/907.185</f>
        <v>367912419.58916873</v>
      </c>
      <c r="V69" t="s">
        <v>609</v>
      </c>
    </row>
    <row r="71" spans="20:22" x14ac:dyDescent="0.25">
      <c r="T71" s="99" t="s">
        <v>610</v>
      </c>
      <c r="U71" s="156">
        <f>U65/U69</f>
        <v>8.928904301695401E-3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9"/>
  <sheetViews>
    <sheetView topLeftCell="A40" zoomScaleNormal="100" workbookViewId="0">
      <selection activeCell="G60" sqref="G60"/>
    </sheetView>
  </sheetViews>
  <sheetFormatPr defaultRowHeight="15" x14ac:dyDescent="0.25"/>
  <cols>
    <col min="3" max="3" width="12" customWidth="1"/>
    <col min="25" max="25" width="10.85546875" customWidth="1"/>
    <col min="30" max="30" width="9.140625" style="111"/>
  </cols>
  <sheetData>
    <row r="1" spans="1:53" x14ac:dyDescent="0.25">
      <c r="A1" t="s">
        <v>223</v>
      </c>
      <c r="L1" t="s">
        <v>219</v>
      </c>
      <c r="AE1" s="59" t="s">
        <v>285</v>
      </c>
    </row>
    <row r="2" spans="1:53" x14ac:dyDescent="0.25">
      <c r="L2" t="s">
        <v>220</v>
      </c>
      <c r="AE2" s="59" t="s">
        <v>286</v>
      </c>
    </row>
    <row r="3" spans="1:53" x14ac:dyDescent="0.25">
      <c r="A3" t="s">
        <v>574</v>
      </c>
      <c r="L3" t="s">
        <v>257</v>
      </c>
      <c r="AE3" s="97">
        <f>A6</f>
        <v>455</v>
      </c>
      <c r="AF3" s="97" t="s">
        <v>401</v>
      </c>
      <c r="AU3" t="s">
        <v>361</v>
      </c>
    </row>
    <row r="4" spans="1:53" x14ac:dyDescent="0.25">
      <c r="A4" s="59" t="s">
        <v>225</v>
      </c>
      <c r="L4" t="s">
        <v>221</v>
      </c>
      <c r="AE4">
        <f>AE3/(1-AE6)</f>
        <v>613.70000000000005</v>
      </c>
      <c r="AF4" t="s">
        <v>400</v>
      </c>
      <c r="AU4" t="s">
        <v>362</v>
      </c>
    </row>
    <row r="5" spans="1:53" x14ac:dyDescent="0.25">
      <c r="A5" t="s">
        <v>183</v>
      </c>
      <c r="B5" t="s">
        <v>237</v>
      </c>
      <c r="L5" t="s">
        <v>222</v>
      </c>
      <c r="T5" t="s">
        <v>229</v>
      </c>
      <c r="U5">
        <v>0</v>
      </c>
      <c r="V5">
        <v>1</v>
      </c>
      <c r="W5">
        <v>2</v>
      </c>
      <c r="X5">
        <v>3</v>
      </c>
      <c r="AE5" s="106">
        <v>0.11</v>
      </c>
      <c r="AF5" t="s">
        <v>290</v>
      </c>
      <c r="AV5" t="s">
        <v>229</v>
      </c>
      <c r="AW5">
        <v>0</v>
      </c>
      <c r="AX5">
        <v>1</v>
      </c>
      <c r="AY5">
        <v>2</v>
      </c>
      <c r="AZ5">
        <v>3</v>
      </c>
    </row>
    <row r="6" spans="1:53" x14ac:dyDescent="0.25">
      <c r="A6">
        <v>455</v>
      </c>
      <c r="B6">
        <f>ParameterEstimation650MWPlant!D23</f>
        <v>455</v>
      </c>
      <c r="C6" t="s">
        <v>41</v>
      </c>
      <c r="D6" t="s">
        <v>224</v>
      </c>
      <c r="T6" s="105" t="s">
        <v>230</v>
      </c>
      <c r="AE6" s="106">
        <f>ParameterEstimation650MWPlant!H23</f>
        <v>0.25859540492097122</v>
      </c>
      <c r="AF6" t="s">
        <v>291</v>
      </c>
      <c r="AV6" s="105" t="s">
        <v>293</v>
      </c>
    </row>
    <row r="7" spans="1:53" x14ac:dyDescent="0.25">
      <c r="A7">
        <v>158.69999999999999</v>
      </c>
      <c r="B7">
        <f>ParameterEstimation650MWPlant!D22-ParameterEstimation650MWPlant!D23</f>
        <v>158.70000000000005</v>
      </c>
      <c r="C7" t="s">
        <v>41</v>
      </c>
      <c r="D7" t="s">
        <v>236</v>
      </c>
      <c r="T7" s="99" t="s">
        <v>238</v>
      </c>
      <c r="U7" s="97">
        <f>A6</f>
        <v>455</v>
      </c>
      <c r="V7" s="97">
        <f>A6</f>
        <v>455</v>
      </c>
      <c r="W7" s="97">
        <f>A6</f>
        <v>455</v>
      </c>
      <c r="X7" s="97">
        <f>A6</f>
        <v>455</v>
      </c>
      <c r="AE7" s="106">
        <f>AE6-AE5</f>
        <v>0.14859540492097123</v>
      </c>
      <c r="AF7" t="s">
        <v>292</v>
      </c>
      <c r="AV7" s="99" t="s">
        <v>295</v>
      </c>
      <c r="AW7">
        <f>AE3</f>
        <v>455</v>
      </c>
      <c r="AX7">
        <f>AE3</f>
        <v>455</v>
      </c>
      <c r="AY7">
        <f>AE3</f>
        <v>455</v>
      </c>
      <c r="AZ7">
        <f>AE3</f>
        <v>455</v>
      </c>
    </row>
    <row r="8" spans="1:53" x14ac:dyDescent="0.25">
      <c r="A8">
        <v>7431</v>
      </c>
      <c r="B8">
        <f>ParameterEstimation650MWPlant!F23</f>
        <v>7431</v>
      </c>
      <c r="C8" t="s">
        <v>42</v>
      </c>
      <c r="D8" t="s">
        <v>227</v>
      </c>
      <c r="T8" s="99" t="s">
        <v>239</v>
      </c>
      <c r="U8" s="97">
        <f>A8</f>
        <v>7431</v>
      </c>
      <c r="V8" s="97">
        <f>A8</f>
        <v>7431</v>
      </c>
      <c r="W8" s="97">
        <f>A8</f>
        <v>7431</v>
      </c>
      <c r="X8" s="97">
        <f>A8</f>
        <v>7431</v>
      </c>
      <c r="AE8">
        <f>AE3*A9/A6</f>
        <v>46.53</v>
      </c>
      <c r="AF8" t="s">
        <v>301</v>
      </c>
      <c r="AV8" s="99"/>
      <c r="AZ8">
        <f>SUM(AW7:AZ7)</f>
        <v>1820</v>
      </c>
      <c r="BA8" s="59" t="s">
        <v>305</v>
      </c>
    </row>
    <row r="9" spans="1:53" x14ac:dyDescent="0.25">
      <c r="A9">
        <v>46.53</v>
      </c>
      <c r="B9">
        <f>ParameterEstimation650MWPlant!E23</f>
        <v>46.53</v>
      </c>
      <c r="C9" t="s">
        <v>41</v>
      </c>
      <c r="D9" t="s">
        <v>166</v>
      </c>
      <c r="P9" s="59"/>
      <c r="T9" s="99" t="s">
        <v>235</v>
      </c>
      <c r="U9" s="97">
        <f>A9</f>
        <v>46.53</v>
      </c>
      <c r="V9" s="97">
        <f>A9</f>
        <v>46.53</v>
      </c>
      <c r="W9" s="97">
        <f>A9</f>
        <v>46.53</v>
      </c>
      <c r="X9" s="97">
        <f>A9</f>
        <v>46.53</v>
      </c>
      <c r="AE9" s="125">
        <f>A6/A9</f>
        <v>9.7786374382119057</v>
      </c>
      <c r="AF9" t="s">
        <v>323</v>
      </c>
      <c r="AV9" s="105" t="s">
        <v>354</v>
      </c>
    </row>
    <row r="10" spans="1:53" x14ac:dyDescent="0.25">
      <c r="A10">
        <f>A7-A9</f>
        <v>112.16999999999999</v>
      </c>
      <c r="B10" t="s">
        <v>45</v>
      </c>
      <c r="C10" t="s">
        <v>41</v>
      </c>
      <c r="D10" t="s">
        <v>231</v>
      </c>
      <c r="T10" s="99" t="s">
        <v>234</v>
      </c>
      <c r="U10" s="97">
        <f>A10</f>
        <v>112.16999999999999</v>
      </c>
      <c r="V10" s="97">
        <f>A10</f>
        <v>112.16999999999999</v>
      </c>
      <c r="W10" s="97">
        <f>A10</f>
        <v>112.16999999999999</v>
      </c>
      <c r="X10" s="97">
        <f>A10</f>
        <v>112.16999999999999</v>
      </c>
      <c r="AE10" s="106">
        <v>0.2</v>
      </c>
      <c r="AF10" t="s">
        <v>304</v>
      </c>
      <c r="AV10" s="99" t="s">
        <v>295</v>
      </c>
      <c r="AW10">
        <f>AW13*$AE$9</f>
        <v>455</v>
      </c>
      <c r="AX10">
        <f>AX13*$AE$9</f>
        <v>90.999999999999972</v>
      </c>
      <c r="AY10">
        <f>AY13*$AE$9</f>
        <v>455</v>
      </c>
      <c r="AZ10">
        <f>AZ19-AZ16</f>
        <v>188.04381689967835</v>
      </c>
    </row>
    <row r="11" spans="1:53" x14ac:dyDescent="0.25">
      <c r="A11">
        <v>2.1356E-2</v>
      </c>
      <c r="B11">
        <f>1/ParameterEstimation650MWPlant!A72</f>
        <v>2.1356479612434403E-2</v>
      </c>
      <c r="C11" t="s">
        <v>249</v>
      </c>
      <c r="D11" t="s">
        <v>248</v>
      </c>
      <c r="T11" s="99" t="s">
        <v>233</v>
      </c>
      <c r="U11" s="97">
        <f>U10+U9</f>
        <v>158.69999999999999</v>
      </c>
      <c r="V11" s="97">
        <f>V10+V9</f>
        <v>158.69999999999999</v>
      </c>
      <c r="W11" s="97">
        <f>W10+W9</f>
        <v>158.69999999999999</v>
      </c>
      <c r="X11" s="97">
        <f>X10+X9</f>
        <v>158.69999999999999</v>
      </c>
      <c r="AE11">
        <f>AE10*AE3</f>
        <v>91</v>
      </c>
      <c r="AF11" t="s">
        <v>306</v>
      </c>
      <c r="AV11" s="99" t="s">
        <v>294</v>
      </c>
      <c r="AW11">
        <v>0</v>
      </c>
      <c r="AX11">
        <f>AE30</f>
        <v>27.607416563658841</v>
      </c>
      <c r="AY11">
        <v>0</v>
      </c>
      <c r="AZ11">
        <v>0</v>
      </c>
    </row>
    <row r="12" spans="1:53" x14ac:dyDescent="0.25">
      <c r="A12">
        <v>6.123E-2</v>
      </c>
      <c r="B12">
        <f>ParameterEstimation650MWPlant!A74</f>
        <v>6.1229982505719281E-2</v>
      </c>
      <c r="C12" t="s">
        <v>249</v>
      </c>
      <c r="D12" t="s">
        <v>253</v>
      </c>
      <c r="T12" s="99" t="s">
        <v>407</v>
      </c>
      <c r="U12" s="97">
        <f>$A$6+$A$7</f>
        <v>613.70000000000005</v>
      </c>
      <c r="V12" s="97">
        <f>$A$6+$A$7</f>
        <v>613.70000000000005</v>
      </c>
      <c r="W12" s="97">
        <f>$A$6+$A$7</f>
        <v>613.70000000000005</v>
      </c>
      <c r="X12" s="97">
        <f>$A$6+$A$7</f>
        <v>613.70000000000005</v>
      </c>
      <c r="AE12">
        <f>(ParameterEstimation650MWPlant!F23/ParameterEstimation650MWPlant!E23)</f>
        <v>159.70341715022565</v>
      </c>
      <c r="AF12" t="s">
        <v>344</v>
      </c>
      <c r="AV12" s="99" t="s">
        <v>300</v>
      </c>
      <c r="AW12">
        <f>$AE$8-AW11</f>
        <v>46.53</v>
      </c>
      <c r="AX12">
        <f>$AE$8-AX11</f>
        <v>18.92258343634116</v>
      </c>
      <c r="AY12">
        <f>$AE$8-AY11</f>
        <v>46.53</v>
      </c>
      <c r="AZ12">
        <f>AZ10/AE9</f>
        <v>19.230063297455018</v>
      </c>
    </row>
    <row r="13" spans="1:53" x14ac:dyDescent="0.25">
      <c r="A13">
        <f>A10/(A9+A10)</f>
        <v>0.70680529300567108</v>
      </c>
      <c r="B13" t="s">
        <v>45</v>
      </c>
      <c r="C13" t="s">
        <v>139</v>
      </c>
      <c r="D13" t="s">
        <v>259</v>
      </c>
      <c r="X13">
        <f>SUM(U7:X7)</f>
        <v>1820</v>
      </c>
      <c r="Y13" s="59" t="s">
        <v>267</v>
      </c>
      <c r="AE13" s="125">
        <f>V46</f>
        <v>0.34833333333333333</v>
      </c>
      <c r="AF13" s="113" t="s">
        <v>386</v>
      </c>
      <c r="AV13" s="99" t="s">
        <v>388</v>
      </c>
      <c r="AW13">
        <f>AW12-AW14</f>
        <v>46.53</v>
      </c>
      <c r="AX13">
        <f>AX12-AX14</f>
        <v>9.3059999999999974</v>
      </c>
      <c r="AY13">
        <f>AY12-AY14</f>
        <v>46.53</v>
      </c>
      <c r="AZ13">
        <f>AZ12-AZ14</f>
        <v>19.230063297455018</v>
      </c>
    </row>
    <row r="14" spans="1:53" x14ac:dyDescent="0.25">
      <c r="A14">
        <f>A9/(A10+A9)</f>
        <v>0.29319470699432892</v>
      </c>
      <c r="B14" t="s">
        <v>45</v>
      </c>
      <c r="C14" t="s">
        <v>139</v>
      </c>
      <c r="D14" t="s">
        <v>260</v>
      </c>
      <c r="X14">
        <f>SUM(U12:X12)</f>
        <v>2454.8000000000002</v>
      </c>
      <c r="Y14" s="59" t="s">
        <v>408</v>
      </c>
      <c r="AG14" t="s">
        <v>387</v>
      </c>
      <c r="AV14" s="99" t="s">
        <v>389</v>
      </c>
      <c r="AW14">
        <v>0</v>
      </c>
      <c r="AX14">
        <f>AX11*AE13</f>
        <v>9.6165834363411626</v>
      </c>
      <c r="AY14">
        <v>0</v>
      </c>
      <c r="AZ14">
        <v>0</v>
      </c>
    </row>
    <row r="15" spans="1:53" x14ac:dyDescent="0.25">
      <c r="A15">
        <v>9.7786299999999997</v>
      </c>
      <c r="B15">
        <f>ParameterEstimation650MWPlant!D23/ParameterEstimation650MWPlant!E23</f>
        <v>9.7786374382119057</v>
      </c>
      <c r="C15" t="s">
        <v>139</v>
      </c>
      <c r="D15" t="s">
        <v>349</v>
      </c>
      <c r="T15" s="105" t="s">
        <v>232</v>
      </c>
      <c r="U15" s="97"/>
      <c r="V15" s="97"/>
      <c r="W15" s="97"/>
      <c r="X15" s="97"/>
      <c r="Z15" s="7" t="s">
        <v>279</v>
      </c>
      <c r="AE15" s="59" t="s">
        <v>288</v>
      </c>
      <c r="AK15" s="99"/>
      <c r="AV15" s="99" t="s">
        <v>356</v>
      </c>
      <c r="AW15">
        <f>SUM(AW11:AW12)*$AE$12</f>
        <v>7430.9999999999991</v>
      </c>
      <c r="AX15">
        <f>SUM(AX11:AX12)*$AE$12</f>
        <v>7430.9999999999991</v>
      </c>
      <c r="AY15">
        <f>SUM(AY11:AY12)*$AE$12</f>
        <v>7430.9999999999991</v>
      </c>
      <c r="AZ15">
        <f>SUM(AZ11:AZ12)*$AE$12</f>
        <v>3071.1068206187024</v>
      </c>
    </row>
    <row r="16" spans="1:53" x14ac:dyDescent="0.25">
      <c r="A16">
        <v>12.10852</v>
      </c>
      <c r="B16">
        <f>ParameterEstimation650MWPlant!F23/(ParameterEstimation650MWPlant!D23+ParameterEstimation650MWPlant!A71)</f>
        <v>12.108522079191786</v>
      </c>
      <c r="C16" t="s">
        <v>372</v>
      </c>
      <c r="D16" t="s">
        <v>373</v>
      </c>
      <c r="T16" s="99" t="s">
        <v>264</v>
      </c>
      <c r="U16" s="97">
        <f>A6</f>
        <v>455</v>
      </c>
      <c r="V16" s="97">
        <f>V20*A12</f>
        <v>207.32478</v>
      </c>
      <c r="W16" s="97">
        <f>A6</f>
        <v>455</v>
      </c>
      <c r="X16" s="97">
        <f>X20*A12</f>
        <v>271.31013000000002</v>
      </c>
      <c r="Y16" t="s">
        <v>281</v>
      </c>
      <c r="Z16">
        <f>Z19*A12</f>
        <v>0</v>
      </c>
      <c r="AE16" s="7" t="s">
        <v>298</v>
      </c>
      <c r="AK16" s="99"/>
      <c r="AV16" s="99" t="s">
        <v>296</v>
      </c>
      <c r="AW16">
        <v>0</v>
      </c>
      <c r="AX16">
        <v>0</v>
      </c>
      <c r="AY16">
        <v>0</v>
      </c>
      <c r="AZ16">
        <f>AX11*AE21</f>
        <v>357.20848908521799</v>
      </c>
      <c r="BA16" s="108"/>
    </row>
    <row r="17" spans="1:53" x14ac:dyDescent="0.25">
      <c r="T17" s="99" t="s">
        <v>265</v>
      </c>
      <c r="U17">
        <v>0</v>
      </c>
      <c r="V17">
        <v>0</v>
      </c>
      <c r="W17">
        <v>0</v>
      </c>
      <c r="X17">
        <f>$A$29*X23</f>
        <v>242.79300000000001</v>
      </c>
      <c r="Y17" t="s">
        <v>282</v>
      </c>
      <c r="Z17">
        <f>$A$29*Z21</f>
        <v>601.39826100000005</v>
      </c>
      <c r="AE17" s="106">
        <v>0.9</v>
      </c>
      <c r="AF17" t="s">
        <v>58</v>
      </c>
      <c r="AK17" s="99"/>
      <c r="AV17" s="99" t="s">
        <v>357</v>
      </c>
      <c r="AW17">
        <f>AW16/$A$29</f>
        <v>0</v>
      </c>
      <c r="AX17">
        <f>AX16/$A$29</f>
        <v>0</v>
      </c>
      <c r="AY17">
        <f>AY16/$A$29</f>
        <v>0</v>
      </c>
      <c r="AZ17">
        <f>AZ16/$A$29</f>
        <v>4413.7412003461959</v>
      </c>
    </row>
    <row r="18" spans="1:53" x14ac:dyDescent="0.25">
      <c r="T18" s="99" t="s">
        <v>266</v>
      </c>
      <c r="U18">
        <f>U17+U16</f>
        <v>455</v>
      </c>
      <c r="V18">
        <f>V17+V16</f>
        <v>207.32478</v>
      </c>
      <c r="W18">
        <f>W17+W16</f>
        <v>455</v>
      </c>
      <c r="X18">
        <f>X17+X16</f>
        <v>514.10312999999996</v>
      </c>
      <c r="Y18" s="97" t="s">
        <v>278</v>
      </c>
      <c r="Z18">
        <f>Z17+Z16</f>
        <v>601.39826100000005</v>
      </c>
      <c r="AE18" s="107">
        <f>(AE17*AE5+AE7)/AE6</f>
        <v>0.95746250787649656</v>
      </c>
      <c r="AF18" t="s">
        <v>59</v>
      </c>
      <c r="AJ18">
        <f>AE19*(3.4)</f>
        <v>12.884436000000001</v>
      </c>
      <c r="AK18" s="99"/>
      <c r="AV18" s="99" t="s">
        <v>359</v>
      </c>
      <c r="AW18">
        <v>0</v>
      </c>
      <c r="AX18">
        <v>0</v>
      </c>
      <c r="AY18">
        <v>0</v>
      </c>
      <c r="AZ18" s="108">
        <f>AZ17/AY15</f>
        <v>0.59396328897136275</v>
      </c>
    </row>
    <row r="19" spans="1:53" x14ac:dyDescent="0.25">
      <c r="A19" s="59" t="s">
        <v>226</v>
      </c>
      <c r="T19" s="99" t="s">
        <v>378</v>
      </c>
      <c r="U19" s="97">
        <f>A8</f>
        <v>7431</v>
      </c>
      <c r="V19" s="97">
        <f>U19-V22</f>
        <v>4431</v>
      </c>
      <c r="W19" s="97">
        <f>W8</f>
        <v>7431</v>
      </c>
      <c r="X19" s="97">
        <f>W24-X23</f>
        <v>4431</v>
      </c>
      <c r="Y19" s="97" t="s">
        <v>284</v>
      </c>
      <c r="Z19">
        <f>W24-Z21</f>
        <v>0</v>
      </c>
      <c r="AE19">
        <f>A30</f>
        <v>3.7895400000000001</v>
      </c>
      <c r="AF19" t="s">
        <v>307</v>
      </c>
      <c r="AK19" s="99"/>
      <c r="AV19" s="99" t="s">
        <v>360</v>
      </c>
      <c r="AW19">
        <f>AW18*$AE$23</f>
        <v>0</v>
      </c>
      <c r="AX19">
        <f>AX18*$AE$23</f>
        <v>0</v>
      </c>
      <c r="AY19">
        <f>AY18*$AE$23</f>
        <v>0</v>
      </c>
      <c r="AZ19">
        <f>AZ18*($AE$23-$AE$3)+$AE$3</f>
        <v>545.25230598489634</v>
      </c>
    </row>
    <row r="20" spans="1:53" x14ac:dyDescent="0.25">
      <c r="A20" t="s">
        <v>183</v>
      </c>
      <c r="B20" t="s">
        <v>237</v>
      </c>
      <c r="T20" s="99" t="s">
        <v>379</v>
      </c>
      <c r="U20">
        <f>U19</f>
        <v>7431</v>
      </c>
      <c r="V20">
        <f>4431-776-200-52-14-3</f>
        <v>3386</v>
      </c>
      <c r="W20">
        <f>W19</f>
        <v>7431</v>
      </c>
      <c r="X20">
        <f>X19</f>
        <v>4431</v>
      </c>
      <c r="Y20" s="97" t="s">
        <v>457</v>
      </c>
      <c r="Z20">
        <v>0</v>
      </c>
      <c r="AF20" t="s">
        <v>321</v>
      </c>
      <c r="AK20" s="99"/>
      <c r="AV20" s="99" t="s">
        <v>358</v>
      </c>
      <c r="AW20">
        <f>AW17+AW15</f>
        <v>7430.9999999999991</v>
      </c>
      <c r="AX20">
        <f>AX17+AX15</f>
        <v>7430.9999999999991</v>
      </c>
      <c r="AY20">
        <f>AY17+AY15</f>
        <v>7430.9999999999991</v>
      </c>
      <c r="AZ20">
        <f>AZ17+AZ15</f>
        <v>7484.8480209648988</v>
      </c>
    </row>
    <row r="21" spans="1:53" x14ac:dyDescent="0.25">
      <c r="A21">
        <v>601.4</v>
      </c>
      <c r="B21">
        <f>ParameterEstimation650MWPlant!D24</f>
        <v>601.4</v>
      </c>
      <c r="C21" t="s">
        <v>41</v>
      </c>
      <c r="D21" t="s">
        <v>224</v>
      </c>
      <c r="T21" s="99" t="s">
        <v>380</v>
      </c>
      <c r="U21">
        <f>U19-U20</f>
        <v>0</v>
      </c>
      <c r="V21" s="136">
        <f>V19-V20</f>
        <v>1045</v>
      </c>
      <c r="W21">
        <f>W19-W20</f>
        <v>0</v>
      </c>
      <c r="X21">
        <f>X19-X20</f>
        <v>0</v>
      </c>
      <c r="Y21" t="s">
        <v>283</v>
      </c>
      <c r="Z21">
        <v>7431</v>
      </c>
      <c r="AE21" s="134">
        <f>AE19*(1+ParameterEstimation650MWPlant!AD14)</f>
        <v>12.938859681475272</v>
      </c>
      <c r="AF21" s="109" t="s">
        <v>324</v>
      </c>
      <c r="AK21" s="99"/>
      <c r="AV21" s="99" t="s">
        <v>302</v>
      </c>
      <c r="AW21">
        <v>0</v>
      </c>
      <c r="AX21">
        <v>0</v>
      </c>
      <c r="AY21">
        <v>0</v>
      </c>
      <c r="AZ21">
        <f>AX11</f>
        <v>27.607416563658841</v>
      </c>
    </row>
    <row r="22" spans="1:53" x14ac:dyDescent="0.25">
      <c r="A22">
        <v>7431</v>
      </c>
      <c r="B22">
        <f>ParameterEstimation650MWPlant!F24</f>
        <v>7431</v>
      </c>
      <c r="C22" t="s">
        <v>42</v>
      </c>
      <c r="D22" t="s">
        <v>227</v>
      </c>
      <c r="T22" s="99" t="s">
        <v>262</v>
      </c>
      <c r="U22" s="97">
        <v>0</v>
      </c>
      <c r="V22" s="97">
        <f>A25</f>
        <v>3000</v>
      </c>
      <c r="W22" s="97">
        <v>0</v>
      </c>
      <c r="X22" s="97">
        <v>0</v>
      </c>
      <c r="Y22" t="s">
        <v>280</v>
      </c>
      <c r="Z22">
        <f>Z19+Z21</f>
        <v>7431</v>
      </c>
      <c r="AF22" s="109" t="s">
        <v>325</v>
      </c>
      <c r="AK22" s="99"/>
      <c r="AV22" s="99" t="s">
        <v>303</v>
      </c>
      <c r="AW22">
        <v>0</v>
      </c>
      <c r="AX22">
        <v>0</v>
      </c>
      <c r="AY22">
        <v>0</v>
      </c>
      <c r="AZ22">
        <f>AZ16-AZ21</f>
        <v>329.60107252155916</v>
      </c>
    </row>
    <row r="23" spans="1:53" x14ac:dyDescent="0.25">
      <c r="A23">
        <v>4.55</v>
      </c>
      <c r="B23">
        <f>ParameterEstimation650MWPlant!E24</f>
        <v>4.55</v>
      </c>
      <c r="C23" t="s">
        <v>41</v>
      </c>
      <c r="D23" t="s">
        <v>166</v>
      </c>
      <c r="T23" s="99" t="s">
        <v>263</v>
      </c>
      <c r="U23" s="97">
        <v>0</v>
      </c>
      <c r="V23" s="97">
        <v>0</v>
      </c>
      <c r="W23" s="97">
        <v>0</v>
      </c>
      <c r="X23" s="97">
        <f>W26</f>
        <v>3000</v>
      </c>
      <c r="Z23">
        <f>Z21</f>
        <v>7431</v>
      </c>
      <c r="AE23">
        <f>AE3+(AE4-AE3)*AE18</f>
        <v>606.94929999999999</v>
      </c>
      <c r="AF23" t="s">
        <v>308</v>
      </c>
      <c r="AV23" s="99" t="s">
        <v>322</v>
      </c>
      <c r="AW23">
        <f>AW16+AW10</f>
        <v>455</v>
      </c>
      <c r="AX23">
        <f>AX16+AX10</f>
        <v>90.999999999999972</v>
      </c>
      <c r="AY23">
        <f>AY16+AY10</f>
        <v>455</v>
      </c>
      <c r="AZ23">
        <f>AZ16+AZ10</f>
        <v>545.25230598489634</v>
      </c>
    </row>
    <row r="24" spans="1:53" x14ac:dyDescent="0.25">
      <c r="A24">
        <v>0</v>
      </c>
      <c r="B24" t="s">
        <v>45</v>
      </c>
      <c r="C24" t="s">
        <v>41</v>
      </c>
      <c r="D24" t="s">
        <v>231</v>
      </c>
      <c r="T24" s="99" t="s">
        <v>275</v>
      </c>
      <c r="U24">
        <f>U19+U23</f>
        <v>7431</v>
      </c>
      <c r="V24">
        <f>V19+V23</f>
        <v>4431</v>
      </c>
      <c r="W24">
        <f>W19+W23</f>
        <v>7431</v>
      </c>
      <c r="X24">
        <f>X19+X23</f>
        <v>7431</v>
      </c>
      <c r="Z24">
        <v>0</v>
      </c>
      <c r="AZ24">
        <f>SUM(AW23:AZ23)</f>
        <v>1546.2523059848963</v>
      </c>
      <c r="BA24" s="59" t="s">
        <v>305</v>
      </c>
    </row>
    <row r="25" spans="1:53" x14ac:dyDescent="0.25">
      <c r="A25">
        <v>3000</v>
      </c>
      <c r="B25" t="s">
        <v>45</v>
      </c>
      <c r="C25" t="s">
        <v>42</v>
      </c>
      <c r="D25" t="s">
        <v>252</v>
      </c>
      <c r="T25" s="99" t="s">
        <v>240</v>
      </c>
      <c r="U25" s="97">
        <f>A26</f>
        <v>3000</v>
      </c>
      <c r="V25" s="97">
        <f>U25-V22</f>
        <v>0</v>
      </c>
      <c r="W25" s="97">
        <f>V25</f>
        <v>0</v>
      </c>
      <c r="X25" s="97">
        <f>X23</f>
        <v>3000</v>
      </c>
      <c r="Z25" s="97">
        <f>Z19*$A$28</f>
        <v>0</v>
      </c>
      <c r="AE25" s="97" t="s">
        <v>332</v>
      </c>
      <c r="AZ25">
        <f>(AZ24-AZ8)/AZ8</f>
        <v>-0.15041082088741958</v>
      </c>
      <c r="BA25" s="59" t="s">
        <v>402</v>
      </c>
    </row>
    <row r="26" spans="1:53" x14ac:dyDescent="0.25">
      <c r="A26">
        <f>A25</f>
        <v>3000</v>
      </c>
      <c r="B26" t="s">
        <v>45</v>
      </c>
      <c r="C26" t="s">
        <v>42</v>
      </c>
      <c r="D26" t="s">
        <v>251</v>
      </c>
      <c r="T26" s="99" t="s">
        <v>241</v>
      </c>
      <c r="U26" s="97">
        <f>A27</f>
        <v>0</v>
      </c>
      <c r="V26" s="97">
        <f>U26+V22</f>
        <v>3000</v>
      </c>
      <c r="W26" s="97">
        <f>V26</f>
        <v>3000</v>
      </c>
      <c r="X26" s="97">
        <v>0</v>
      </c>
      <c r="Z26" s="97">
        <f>Z25*$A$14</f>
        <v>0</v>
      </c>
      <c r="AE26" t="s">
        <v>333</v>
      </c>
      <c r="AV26" s="105" t="s">
        <v>355</v>
      </c>
    </row>
    <row r="27" spans="1:53" x14ac:dyDescent="0.25">
      <c r="A27">
        <v>0</v>
      </c>
      <c r="B27" t="s">
        <v>45</v>
      </c>
      <c r="C27" t="s">
        <v>42</v>
      </c>
      <c r="D27" t="s">
        <v>250</v>
      </c>
      <c r="T27" s="99" t="s">
        <v>261</v>
      </c>
      <c r="U27" s="97">
        <f>U19*$A$28</f>
        <v>158.69643600000001</v>
      </c>
      <c r="V27" s="97">
        <f>V19*$A$28</f>
        <v>94.628435999999994</v>
      </c>
      <c r="W27" s="97">
        <f>W19*$A$28</f>
        <v>158.69643600000001</v>
      </c>
      <c r="X27" s="97">
        <f>X19*$A$28</f>
        <v>94.628435999999994</v>
      </c>
      <c r="Z27" s="97">
        <f>Z25*$A$13</f>
        <v>0</v>
      </c>
      <c r="AE27" t="s">
        <v>334</v>
      </c>
      <c r="AV27" s="99" t="s">
        <v>295</v>
      </c>
      <c r="AW27">
        <f>AE3</f>
        <v>455</v>
      </c>
      <c r="AX27">
        <f>AX30*$AE$9</f>
        <v>90.999999999999972</v>
      </c>
      <c r="AY27">
        <f>AE3</f>
        <v>455</v>
      </c>
      <c r="AZ27">
        <f>AE3</f>
        <v>455</v>
      </c>
    </row>
    <row r="28" spans="1:53" x14ac:dyDescent="0.25">
      <c r="A28">
        <f>A11</f>
        <v>2.1356E-2</v>
      </c>
      <c r="B28" t="s">
        <v>45</v>
      </c>
      <c r="C28" t="s">
        <v>249</v>
      </c>
      <c r="D28" t="s">
        <v>254</v>
      </c>
      <c r="T28" s="99" t="s">
        <v>244</v>
      </c>
      <c r="U28" s="97">
        <f>U27*$A$14</f>
        <v>46.528955054064276</v>
      </c>
      <c r="V28" s="97">
        <f>V27*$A$14</f>
        <v>27.744556566351605</v>
      </c>
      <c r="W28" s="97">
        <f>W27*$A$14</f>
        <v>46.528955054064276</v>
      </c>
      <c r="X28" s="97">
        <f>X27*$A$14</f>
        <v>27.744556566351605</v>
      </c>
      <c r="Z28" s="97">
        <f>Z20*$A$28</f>
        <v>0</v>
      </c>
      <c r="AE28" t="s">
        <v>335</v>
      </c>
      <c r="AV28" s="99" t="s">
        <v>294</v>
      </c>
      <c r="AW28">
        <v>0</v>
      </c>
      <c r="AX28">
        <f>AE46</f>
        <v>6.9114959382214733</v>
      </c>
      <c r="AY28">
        <v>0</v>
      </c>
      <c r="AZ28">
        <v>0</v>
      </c>
    </row>
    <row r="29" spans="1:53" x14ac:dyDescent="0.25">
      <c r="A29">
        <v>8.0931000000000003E-2</v>
      </c>
      <c r="B29">
        <f>ParameterEstimation650MWPlant!A82</f>
        <v>8.0931234019647413E-2</v>
      </c>
      <c r="C29" t="s">
        <v>249</v>
      </c>
      <c r="D29" t="s">
        <v>269</v>
      </c>
      <c r="T29" s="99" t="s">
        <v>247</v>
      </c>
      <c r="U29" s="97">
        <f>U27*$A$13</f>
        <v>112.16748094593574</v>
      </c>
      <c r="V29" s="97">
        <f>V27*$A$13</f>
        <v>66.883879433648389</v>
      </c>
      <c r="W29" s="97">
        <f>W27*$A$13</f>
        <v>112.16748094593574</v>
      </c>
      <c r="X29" s="97">
        <f>X27*$A$13</f>
        <v>66.883879433648389</v>
      </c>
      <c r="Z29" s="97">
        <f>Z28*$A$14</f>
        <v>0</v>
      </c>
      <c r="AE29" s="7" t="s">
        <v>336</v>
      </c>
      <c r="AV29" s="99" t="s">
        <v>300</v>
      </c>
      <c r="AW29">
        <f>$AE$8-AW28*$AE$47</f>
        <v>46.53</v>
      </c>
      <c r="AX29">
        <f>$AE$8-AX28*$AE$47</f>
        <v>18.92258343634116</v>
      </c>
      <c r="AY29">
        <f>$AE$8-AY28*$AE$47</f>
        <v>46.53</v>
      </c>
      <c r="AZ29">
        <f>$AE$8-AZ28*$AE$47</f>
        <v>46.53</v>
      </c>
    </row>
    <row r="30" spans="1:53" x14ac:dyDescent="0.25">
      <c r="A30">
        <v>3.7895400000000001</v>
      </c>
      <c r="B30">
        <f>ParameterEstimation650MWPlant!A84</f>
        <v>3.789540012602393</v>
      </c>
      <c r="C30" t="s">
        <v>139</v>
      </c>
      <c r="D30" t="s">
        <v>255</v>
      </c>
      <c r="T30" s="99" t="s">
        <v>384</v>
      </c>
      <c r="U30">
        <f>U21*$A$28*$A$14</f>
        <v>0</v>
      </c>
      <c r="V30">
        <f>V21*$A$28*$A$14</f>
        <v>6.5432321398865785</v>
      </c>
      <c r="W30">
        <f>W21*$A$28*$A$14</f>
        <v>0</v>
      </c>
      <c r="X30">
        <f>X21*$A$28*$A$14</f>
        <v>0</v>
      </c>
      <c r="AE30" s="59">
        <f>AE8*(1-AE10)/(1+AE13)</f>
        <v>27.607416563658841</v>
      </c>
      <c r="AF30" t="s">
        <v>287</v>
      </c>
      <c r="AH30" t="s">
        <v>346</v>
      </c>
      <c r="AV30" s="99" t="s">
        <v>388</v>
      </c>
      <c r="AW30">
        <f>AW29-AW31</f>
        <v>46.53</v>
      </c>
      <c r="AX30">
        <f>AX29-AX31</f>
        <v>9.3059999999999974</v>
      </c>
      <c r="AY30">
        <f>AY29-AY31</f>
        <v>46.53</v>
      </c>
      <c r="AZ30">
        <f>AZ29-AZ31</f>
        <v>46.53</v>
      </c>
    </row>
    <row r="31" spans="1:53" x14ac:dyDescent="0.25">
      <c r="A31">
        <f>A26*A28</f>
        <v>64.067999999999998</v>
      </c>
      <c r="B31" t="s">
        <v>45</v>
      </c>
      <c r="C31" t="s">
        <v>199</v>
      </c>
      <c r="D31" t="s">
        <v>256</v>
      </c>
      <c r="T31" s="99" t="s">
        <v>258</v>
      </c>
      <c r="U31" s="97">
        <f>U22*$A$28</f>
        <v>0</v>
      </c>
      <c r="V31" s="97">
        <f>V22*$A$28</f>
        <v>64.067999999999998</v>
      </c>
      <c r="W31" s="97">
        <f>W22*$A$28</f>
        <v>0</v>
      </c>
      <c r="X31" s="97">
        <f>X22*$A$28</f>
        <v>0</v>
      </c>
      <c r="Z31" s="97">
        <f>Z28*$A$13</f>
        <v>0</v>
      </c>
      <c r="AF31" t="s">
        <v>309</v>
      </c>
      <c r="AV31" s="99" t="s">
        <v>389</v>
      </c>
      <c r="AW31">
        <v>0</v>
      </c>
      <c r="AX31">
        <f>AX28*AE13*AE47</f>
        <v>9.6165834363411626</v>
      </c>
      <c r="AY31">
        <v>0</v>
      </c>
      <c r="AZ31">
        <v>0</v>
      </c>
    </row>
    <row r="32" spans="1:53" x14ac:dyDescent="0.25">
      <c r="T32" s="99" t="s">
        <v>245</v>
      </c>
      <c r="U32" s="97">
        <f>U31*$A$14</f>
        <v>0</v>
      </c>
      <c r="V32" s="97">
        <f>V31*$A$14</f>
        <v>18.784398487712664</v>
      </c>
      <c r="W32" s="97">
        <f>W31*$A$14</f>
        <v>0</v>
      </c>
      <c r="X32" s="97">
        <f>X31*$A$14</f>
        <v>0</v>
      </c>
      <c r="Z32" s="97">
        <f>Z29+Z26</f>
        <v>0</v>
      </c>
      <c r="AF32" t="s">
        <v>310</v>
      </c>
      <c r="AV32" s="99" t="s">
        <v>296</v>
      </c>
      <c r="AW32">
        <v>0</v>
      </c>
      <c r="AX32">
        <v>0</v>
      </c>
      <c r="AY32">
        <v>0</v>
      </c>
      <c r="AZ32">
        <f>AX28*AE21</f>
        <v>89.426876133733927</v>
      </c>
    </row>
    <row r="33" spans="20:58" x14ac:dyDescent="0.25">
      <c r="T33" s="99" t="s">
        <v>246</v>
      </c>
      <c r="U33" s="97">
        <f>U31*$A$13</f>
        <v>0</v>
      </c>
      <c r="V33" s="97">
        <f>V31*$A$13</f>
        <v>45.283601512287333</v>
      </c>
      <c r="W33" s="97">
        <f>W31*$A$13</f>
        <v>0</v>
      </c>
      <c r="X33" s="97">
        <f>X31*$A$13</f>
        <v>0</v>
      </c>
      <c r="Z33" s="97">
        <f>Z31+Z27</f>
        <v>0</v>
      </c>
      <c r="AE33">
        <f>AE23/A29</f>
        <v>7499.5897740050159</v>
      </c>
      <c r="AF33" t="s">
        <v>340</v>
      </c>
      <c r="AV33" s="99" t="s">
        <v>302</v>
      </c>
      <c r="AW33">
        <v>0</v>
      </c>
      <c r="AX33">
        <v>0</v>
      </c>
      <c r="AY33">
        <v>0</v>
      </c>
      <c r="AZ33">
        <f>AX28</f>
        <v>6.9114959382214733</v>
      </c>
    </row>
    <row r="34" spans="20:58" x14ac:dyDescent="0.25">
      <c r="T34" s="99" t="s">
        <v>242</v>
      </c>
      <c r="U34" s="97">
        <f t="shared" ref="U34:X35" si="0">U32+U28</f>
        <v>46.528955054064276</v>
      </c>
      <c r="V34" s="97">
        <f t="shared" si="0"/>
        <v>46.528955054064269</v>
      </c>
      <c r="W34" s="97">
        <f t="shared" si="0"/>
        <v>46.528955054064276</v>
      </c>
      <c r="X34" s="97">
        <f t="shared" si="0"/>
        <v>27.744556566351605</v>
      </c>
      <c r="Z34" s="97">
        <f>Z33+Z32</f>
        <v>0</v>
      </c>
      <c r="AE34">
        <f>AE30*AE12</f>
        <v>4408.9987639060573</v>
      </c>
      <c r="AF34" t="s">
        <v>341</v>
      </c>
      <c r="AV34" s="99" t="s">
        <v>303</v>
      </c>
      <c r="AW34">
        <v>0</v>
      </c>
      <c r="AX34">
        <v>0</v>
      </c>
      <c r="AY34">
        <v>0</v>
      </c>
      <c r="AZ34">
        <f>AZ32-AZ33</f>
        <v>82.515380195512449</v>
      </c>
    </row>
    <row r="35" spans="20:58" x14ac:dyDescent="0.25">
      <c r="T35" s="99" t="s">
        <v>243</v>
      </c>
      <c r="U35" s="97">
        <f t="shared" si="0"/>
        <v>112.16748094593574</v>
      </c>
      <c r="V35" s="97">
        <f t="shared" si="0"/>
        <v>112.16748094593572</v>
      </c>
      <c r="W35" s="97">
        <f t="shared" si="0"/>
        <v>112.16748094593574</v>
      </c>
      <c r="X35" s="97">
        <f t="shared" si="0"/>
        <v>66.883879433648389</v>
      </c>
      <c r="AG35" t="s">
        <v>342</v>
      </c>
      <c r="AV35" s="99" t="s">
        <v>322</v>
      </c>
      <c r="AW35">
        <f>AW27+AW32</f>
        <v>455</v>
      </c>
      <c r="AX35">
        <f>AX27+AX32</f>
        <v>90.999999999999972</v>
      </c>
      <c r="AY35">
        <f>AY27+AY32</f>
        <v>455</v>
      </c>
      <c r="AZ35">
        <f>AZ27+AZ32</f>
        <v>544.42687613373391</v>
      </c>
    </row>
    <row r="36" spans="20:58" x14ac:dyDescent="0.25">
      <c r="T36" s="99" t="s">
        <v>233</v>
      </c>
      <c r="U36" s="97">
        <f>U35+U34</f>
        <v>158.69643600000001</v>
      </c>
      <c r="V36" s="97">
        <f>V35+V34</f>
        <v>158.69643600000001</v>
      </c>
      <c r="W36" s="97">
        <f>W35+W34</f>
        <v>158.69643600000001</v>
      </c>
      <c r="X36" s="97">
        <f>X35+X34</f>
        <v>94.628435999999994</v>
      </c>
      <c r="AG36" t="s">
        <v>343</v>
      </c>
      <c r="AZ36">
        <f>SUM(AW35:AZ35)</f>
        <v>1545.4268761337339</v>
      </c>
      <c r="BA36" s="59" t="s">
        <v>305</v>
      </c>
    </row>
    <row r="37" spans="20:58" x14ac:dyDescent="0.25">
      <c r="T37" s="99" t="s">
        <v>374</v>
      </c>
      <c r="U37">
        <f>U16+U17+U36</f>
        <v>613.69643599999995</v>
      </c>
      <c r="V37">
        <f>V16+V17+V36</f>
        <v>366.02121599999998</v>
      </c>
      <c r="W37">
        <f>W16+W17+W36</f>
        <v>613.69643599999995</v>
      </c>
      <c r="X37">
        <f>X16+X17+X36</f>
        <v>608.73156599999993</v>
      </c>
      <c r="AE37" s="135">
        <f>AE34/AE33</f>
        <v>0.58789865802906627</v>
      </c>
      <c r="AF37" t="s">
        <v>345</v>
      </c>
    </row>
    <row r="38" spans="20:58" x14ac:dyDescent="0.25">
      <c r="T38" s="99" t="s">
        <v>376</v>
      </c>
      <c r="U38">
        <f>U37*$A$16</f>
        <v>7430.9555692347194</v>
      </c>
      <c r="V38">
        <f>V37*$A$16</f>
        <v>4431.97521436032</v>
      </c>
      <c r="W38">
        <f>W37*$A$16</f>
        <v>7430.9555692347194</v>
      </c>
      <c r="X38" t="s">
        <v>377</v>
      </c>
      <c r="AV38" s="116" t="s">
        <v>522</v>
      </c>
      <c r="AW38" s="111"/>
      <c r="AX38" s="111"/>
      <c r="AY38" s="111"/>
      <c r="AZ38" s="111"/>
      <c r="BA38" s="111"/>
      <c r="BB38" s="111"/>
      <c r="BC38" s="111"/>
      <c r="BD38" s="111"/>
      <c r="BE38" s="111"/>
      <c r="BF38" s="111"/>
    </row>
    <row r="39" spans="20:58" x14ac:dyDescent="0.25">
      <c r="T39" s="99" t="s">
        <v>375</v>
      </c>
      <c r="U39" s="110">
        <f>U38-U24</f>
        <v>-4.4430765280594642E-2</v>
      </c>
      <c r="V39" s="110">
        <f>V38-V24</f>
        <v>0.97521436032002384</v>
      </c>
      <c r="W39" s="110">
        <f>W38-W24</f>
        <v>-4.4430765280594642E-2</v>
      </c>
      <c r="X39" s="110" t="s">
        <v>377</v>
      </c>
      <c r="AE39" s="7" t="s">
        <v>337</v>
      </c>
      <c r="AV39" s="116"/>
      <c r="AW39" s="111"/>
      <c r="AX39" s="111"/>
      <c r="AY39" s="114" t="s">
        <v>311</v>
      </c>
      <c r="AZ39" s="111"/>
      <c r="BA39" s="111"/>
      <c r="BB39" s="111"/>
      <c r="BC39" s="111"/>
      <c r="BD39" s="111"/>
      <c r="BE39" s="111"/>
      <c r="BF39" s="111"/>
    </row>
    <row r="40" spans="20:58" x14ac:dyDescent="0.25">
      <c r="X40">
        <f>SUM(U18:X18)</f>
        <v>1631.4279099999999</v>
      </c>
      <c r="Y40" s="59" t="s">
        <v>276</v>
      </c>
      <c r="AE40">
        <f>AE23-AE3</f>
        <v>151.94929999999999</v>
      </c>
      <c r="AF40" t="s">
        <v>326</v>
      </c>
      <c r="AV40" s="111"/>
      <c r="AW40" s="111"/>
      <c r="AX40" s="111"/>
      <c r="AY40" s="115" t="s">
        <v>295</v>
      </c>
      <c r="AZ40" s="111">
        <f>AE3</f>
        <v>455</v>
      </c>
      <c r="BA40" s="111">
        <f>BA43*AE9</f>
        <v>387.41498706445799</v>
      </c>
      <c r="BB40" s="111">
        <f>AE3</f>
        <v>455</v>
      </c>
      <c r="BC40" s="111">
        <f>AE3</f>
        <v>455</v>
      </c>
      <c r="BD40" s="111"/>
      <c r="BE40" s="111"/>
      <c r="BF40" s="111"/>
    </row>
    <row r="41" spans="20:58" x14ac:dyDescent="0.25">
      <c r="X41">
        <f>X40-X13</f>
        <v>-188.57209000000012</v>
      </c>
      <c r="Y41" s="59" t="s">
        <v>339</v>
      </c>
      <c r="AE41" s="97">
        <f>AE40/A29</f>
        <v>1877.5166499857903</v>
      </c>
      <c r="AF41" s="97" t="s">
        <v>327</v>
      </c>
      <c r="AV41" s="111"/>
      <c r="AW41" s="111"/>
      <c r="AX41" s="111"/>
      <c r="AY41" s="115" t="s">
        <v>294</v>
      </c>
      <c r="AZ41" s="111">
        <v>0</v>
      </c>
      <c r="BA41" s="111">
        <f>AE46</f>
        <v>6.9114959382214733</v>
      </c>
      <c r="BB41" s="111">
        <v>0</v>
      </c>
      <c r="BC41" s="111">
        <v>0</v>
      </c>
      <c r="BD41" s="111" t="s">
        <v>312</v>
      </c>
      <c r="BE41" s="111"/>
      <c r="BF41" s="111"/>
    </row>
    <row r="42" spans="20:58" x14ac:dyDescent="0.25">
      <c r="Z42" s="59" t="s">
        <v>521</v>
      </c>
      <c r="AE42">
        <f>AE41*A28</f>
        <v>40.096245577096539</v>
      </c>
      <c r="AF42" t="s">
        <v>328</v>
      </c>
      <c r="AV42" s="111"/>
      <c r="AW42" s="111"/>
      <c r="AX42" s="111"/>
      <c r="AY42" s="115" t="s">
        <v>313</v>
      </c>
      <c r="AZ42" s="111">
        <f>AZ41*ParameterEstimation650MWPlant!$AD$14</f>
        <v>0</v>
      </c>
      <c r="BA42" s="111">
        <f>BA41*AE47*ParameterEstimation650MWPlant!$AD$14</f>
        <v>66.654285142938264</v>
      </c>
      <c r="BB42" s="111">
        <f>BB41*ParameterEstimation650MWPlant!$AD$14</f>
        <v>0</v>
      </c>
      <c r="BC42" s="111">
        <f>BC41*ParameterEstimation650MWPlant!$AD$14</f>
        <v>0</v>
      </c>
      <c r="BD42" s="111"/>
      <c r="BE42" s="111"/>
      <c r="BF42" s="111"/>
    </row>
    <row r="43" spans="20:58" x14ac:dyDescent="0.25">
      <c r="X43" s="133">
        <f>X41/X13</f>
        <v>-0.10361103846153853</v>
      </c>
      <c r="Y43" s="59" t="s">
        <v>406</v>
      </c>
      <c r="AG43" t="s">
        <v>329</v>
      </c>
      <c r="AV43" s="111"/>
      <c r="AW43" s="111"/>
      <c r="AX43" s="111"/>
      <c r="AY43" s="115" t="s">
        <v>300</v>
      </c>
      <c r="AZ43" s="111">
        <f>$AE$8-AZ41</f>
        <v>46.53</v>
      </c>
      <c r="BA43" s="111">
        <f>$AE$8-BA41</f>
        <v>39.61850406177853</v>
      </c>
      <c r="BB43" s="111">
        <f>$AE$8-BB41</f>
        <v>46.53</v>
      </c>
      <c r="BC43" s="111">
        <f>$AE$8-BC41</f>
        <v>46.53</v>
      </c>
      <c r="BD43" s="111" t="s">
        <v>312</v>
      </c>
      <c r="BE43" s="111"/>
      <c r="BF43" s="111"/>
    </row>
    <row r="44" spans="20:58" x14ac:dyDescent="0.25">
      <c r="T44" s="99" t="s">
        <v>381</v>
      </c>
      <c r="U44">
        <f>U27/U37</f>
        <v>0.25859109926458823</v>
      </c>
      <c r="V44">
        <f>V27/V37</f>
        <v>0.25853265292687294</v>
      </c>
      <c r="W44">
        <f>W27/W37</f>
        <v>0.25859109926458823</v>
      </c>
      <c r="X44" t="s">
        <v>377</v>
      </c>
      <c r="AG44" t="s">
        <v>330</v>
      </c>
      <c r="AV44" s="111"/>
      <c r="AW44" s="111"/>
      <c r="AX44" s="111"/>
      <c r="AY44" s="115" t="s">
        <v>314</v>
      </c>
      <c r="AZ44" s="111">
        <f>AZ43*ParameterEstimation650MWPlant!$AD$14</f>
        <v>112.34024308466051</v>
      </c>
      <c r="BA44" s="111">
        <f>BA43*ParameterEstimation650MWPlant!$AD$14</f>
        <v>95.653393014201811</v>
      </c>
      <c r="BB44" s="111">
        <f>BB43*ParameterEstimation650MWPlant!$AD$14</f>
        <v>112.34024308466051</v>
      </c>
      <c r="BC44" s="111">
        <f>BC43*ParameterEstimation650MWPlant!$AD$14</f>
        <v>112.34024308466051</v>
      </c>
      <c r="BD44" s="111"/>
      <c r="BE44" s="111"/>
      <c r="BF44" s="111"/>
    </row>
    <row r="45" spans="20:58" x14ac:dyDescent="0.25">
      <c r="T45" s="99" t="s">
        <v>382</v>
      </c>
      <c r="U45">
        <f>U28/U37</f>
        <v>7.5817541580222372E-2</v>
      </c>
      <c r="V45">
        <f>V28/V37</f>
        <v>7.5800405423361056E-2</v>
      </c>
      <c r="W45">
        <f>W28/W37</f>
        <v>7.5817541580222372E-2</v>
      </c>
      <c r="X45" s="110" t="s">
        <v>377</v>
      </c>
      <c r="AE45" s="97">
        <f>AE41*(A9/A8)</f>
        <v>11.756270989616313</v>
      </c>
      <c r="AF45" t="s">
        <v>331</v>
      </c>
      <c r="AV45" s="111"/>
      <c r="AW45" s="111"/>
      <c r="AX45" s="111"/>
      <c r="AY45" s="115" t="s">
        <v>316</v>
      </c>
      <c r="AZ45" s="111">
        <f>(AZ41+AZ42)/$A$11</f>
        <v>0</v>
      </c>
      <c r="BA45" s="111">
        <f>(BA41+BA42)/$A$11</f>
        <v>3444.735956225873</v>
      </c>
      <c r="BB45" s="111">
        <f>(BB41+BB42)/$A$11</f>
        <v>0</v>
      </c>
      <c r="BC45" s="111">
        <f>(BC41+BC42)/$A$11</f>
        <v>0</v>
      </c>
      <c r="BD45" s="111"/>
      <c r="BE45" s="111"/>
      <c r="BF45" s="111"/>
    </row>
    <row r="46" spans="20:58" x14ac:dyDescent="0.25">
      <c r="T46" s="99" t="s">
        <v>385</v>
      </c>
      <c r="U46" t="s">
        <v>377</v>
      </c>
      <c r="V46" s="125">
        <f>V30/V32</f>
        <v>0.34833333333333333</v>
      </c>
      <c r="W46" t="s">
        <v>377</v>
      </c>
      <c r="X46" t="s">
        <v>377</v>
      </c>
      <c r="AE46" s="59">
        <f>AE45*AE37</f>
        <v>6.9114959382214733</v>
      </c>
      <c r="AF46" t="s">
        <v>347</v>
      </c>
      <c r="AV46" s="111"/>
      <c r="AW46" s="111"/>
      <c r="AX46" s="111"/>
      <c r="AY46" s="115" t="s">
        <v>317</v>
      </c>
      <c r="AZ46" s="111">
        <f>(AZ44+AZ43)/$A$11</f>
        <v>7439.1385598735951</v>
      </c>
      <c r="BA46" s="111">
        <f>(BA44+BA43)/$A$11</f>
        <v>6334.140151525583</v>
      </c>
      <c r="BB46" s="111">
        <f>(BB44+BB43)/$A$11</f>
        <v>7439.1385598735951</v>
      </c>
      <c r="BC46" s="111">
        <f>(BC44+BC43)/$A$11</f>
        <v>7439.1385598735951</v>
      </c>
      <c r="BD46" s="111"/>
      <c r="BE46" s="111"/>
      <c r="BF46" s="111"/>
    </row>
    <row r="47" spans="20:58" x14ac:dyDescent="0.25">
      <c r="AE47" s="125">
        <f>AE30/AE46</f>
        <v>3.9944198492523491</v>
      </c>
      <c r="AF47" t="s">
        <v>352</v>
      </c>
      <c r="AV47" s="111"/>
      <c r="AW47" s="111"/>
      <c r="AX47" s="111"/>
      <c r="AY47" s="115" t="s">
        <v>320</v>
      </c>
      <c r="AZ47" s="111">
        <v>0</v>
      </c>
      <c r="BA47" s="111">
        <v>0</v>
      </c>
      <c r="BB47" s="111">
        <v>0</v>
      </c>
      <c r="BC47" s="111">
        <f>BA45</f>
        <v>3444.735956225873</v>
      </c>
      <c r="BD47" s="111"/>
      <c r="BE47" s="111"/>
      <c r="BF47" s="111"/>
    </row>
    <row r="48" spans="20:58" x14ac:dyDescent="0.25">
      <c r="AE48" s="59">
        <f>AE47*A15</f>
        <v>39.059953770494495</v>
      </c>
      <c r="AF48" t="s">
        <v>348</v>
      </c>
      <c r="AV48" s="111"/>
      <c r="AW48" s="111"/>
      <c r="AX48" s="111"/>
      <c r="AY48" s="115" t="s">
        <v>319</v>
      </c>
      <c r="AZ48" s="111">
        <f>AZ46*$A$12</f>
        <v>455.49845402106024</v>
      </c>
      <c r="BA48" s="111">
        <f>BA46*$A$12</f>
        <v>387.83940147791145</v>
      </c>
      <c r="BB48" s="111">
        <f>BB46*$A$12</f>
        <v>455.49845402106024</v>
      </c>
      <c r="BC48" s="111">
        <f>BC46*$A$12</f>
        <v>455.49845402106024</v>
      </c>
      <c r="BD48" s="111"/>
      <c r="BE48" s="111"/>
      <c r="BF48" s="111"/>
    </row>
    <row r="49" spans="20:58" x14ac:dyDescent="0.25">
      <c r="T49" s="99" t="s">
        <v>363</v>
      </c>
      <c r="U49">
        <f>U18-U7</f>
        <v>0</v>
      </c>
      <c r="V49">
        <f>V18-V7</f>
        <v>-247.67522</v>
      </c>
      <c r="W49">
        <f>W18-W7</f>
        <v>0</v>
      </c>
      <c r="X49">
        <f>X18-X7</f>
        <v>59.103129999999965</v>
      </c>
      <c r="AE49">
        <f>AE3-(AE48*AE46)</f>
        <v>185.03728816810877</v>
      </c>
      <c r="AF49" t="s">
        <v>350</v>
      </c>
      <c r="AV49" s="111"/>
      <c r="AW49" s="111"/>
      <c r="AX49" s="111"/>
      <c r="AY49" s="115" t="s">
        <v>318</v>
      </c>
      <c r="AZ49" s="111">
        <f>AZ47*$A$29</f>
        <v>0</v>
      </c>
      <c r="BA49" s="111">
        <f>BA47*$A$29</f>
        <v>0</v>
      </c>
      <c r="BB49" s="111">
        <f>BB47*$A$29</f>
        <v>0</v>
      </c>
      <c r="BC49" s="116">
        <f>BC47*$A$29</f>
        <v>278.78592567331611</v>
      </c>
      <c r="BD49" s="111">
        <f>SUM(BA41:BA42)*AE19</f>
        <v>278.78047003829812</v>
      </c>
      <c r="BE49" s="111"/>
      <c r="BF49" s="111"/>
    </row>
    <row r="50" spans="20:58" x14ac:dyDescent="0.25">
      <c r="T50" s="99" t="s">
        <v>364</v>
      </c>
      <c r="U50">
        <v>0</v>
      </c>
      <c r="V50">
        <v>10</v>
      </c>
      <c r="W50">
        <v>0</v>
      </c>
      <c r="X50">
        <v>42</v>
      </c>
      <c r="AF50" t="s">
        <v>351</v>
      </c>
      <c r="AV50" s="111"/>
      <c r="AW50" s="111"/>
      <c r="AX50" s="111"/>
      <c r="AY50" s="111"/>
      <c r="AZ50" s="111">
        <f>SUM(AZ40:AZ44)</f>
        <v>613.8702430846605</v>
      </c>
      <c r="BA50" s="111">
        <f>SUM(BA40:BA44)</f>
        <v>596.25266522159814</v>
      </c>
      <c r="BB50" s="111">
        <f>SUM(BB40:BB44)</f>
        <v>613.8702430846605</v>
      </c>
      <c r="BC50" s="111">
        <f>SUM(BC40:BC44)</f>
        <v>613.8702430846605</v>
      </c>
      <c r="BD50" s="111"/>
      <c r="BE50" s="111"/>
      <c r="BF50" s="111"/>
    </row>
    <row r="51" spans="20:58" x14ac:dyDescent="0.25">
      <c r="T51" s="99" t="s">
        <v>365</v>
      </c>
      <c r="U51">
        <f>U50*U49</f>
        <v>0</v>
      </c>
      <c r="V51">
        <f>V50*V49</f>
        <v>-2476.7521999999999</v>
      </c>
      <c r="W51">
        <f>W50*W49</f>
        <v>0</v>
      </c>
      <c r="X51">
        <f>X50*X49</f>
        <v>2482.3314599999985</v>
      </c>
      <c r="AG51">
        <f>AE10*AE3</f>
        <v>91</v>
      </c>
      <c r="AV51" s="111"/>
      <c r="AW51" s="111"/>
      <c r="AX51" s="111"/>
      <c r="AY51" s="115" t="s">
        <v>296</v>
      </c>
      <c r="AZ51" s="111">
        <v>0</v>
      </c>
      <c r="BA51" s="111">
        <v>0</v>
      </c>
      <c r="BB51" s="111">
        <v>0</v>
      </c>
      <c r="BC51" s="111">
        <f>SUM(BA41:BA42)*AE19</f>
        <v>278.78047003829812</v>
      </c>
      <c r="BD51" s="117"/>
      <c r="BE51" s="111"/>
      <c r="BF51" s="111"/>
    </row>
    <row r="52" spans="20:58" x14ac:dyDescent="0.25">
      <c r="T52" s="99"/>
      <c r="X52" s="112">
        <f>X51+V51</f>
        <v>5.5792599999986123</v>
      </c>
      <c r="Y52" t="s">
        <v>383</v>
      </c>
      <c r="AV52" s="111"/>
      <c r="AW52" s="111"/>
      <c r="AX52" s="111"/>
      <c r="AY52" s="115" t="s">
        <v>302</v>
      </c>
      <c r="AZ52" s="111">
        <v>0</v>
      </c>
      <c r="BA52" s="111">
        <v>0</v>
      </c>
      <c r="BB52" s="111">
        <v>0</v>
      </c>
      <c r="BC52" s="111">
        <f>AE30</f>
        <v>27.607416563658841</v>
      </c>
      <c r="BD52" s="111"/>
      <c r="BE52" s="111"/>
      <c r="BF52" s="111"/>
    </row>
    <row r="53" spans="20:58" x14ac:dyDescent="0.25">
      <c r="AE53" s="7" t="s">
        <v>289</v>
      </c>
      <c r="AV53" s="111"/>
      <c r="AW53" s="111"/>
      <c r="AX53" s="111"/>
      <c r="AY53" s="115" t="s">
        <v>303</v>
      </c>
      <c r="AZ53" s="111">
        <v>0</v>
      </c>
      <c r="BA53" s="111">
        <v>0</v>
      </c>
      <c r="BB53" s="111">
        <v>0</v>
      </c>
      <c r="BC53" s="111">
        <f>BC51-BC52</f>
        <v>251.17305347463929</v>
      </c>
      <c r="BD53" s="111"/>
      <c r="BE53" s="111"/>
      <c r="BF53" s="111"/>
    </row>
    <row r="54" spans="20:58" x14ac:dyDescent="0.25">
      <c r="X54" s="59" t="s">
        <v>277</v>
      </c>
      <c r="AE54" s="59">
        <f>(AE23-AE3)-AE46</f>
        <v>145.03780406177853</v>
      </c>
      <c r="AF54" t="s">
        <v>287</v>
      </c>
      <c r="AV54" s="111"/>
      <c r="AW54" s="111"/>
      <c r="AX54" s="111"/>
      <c r="AY54" s="115" t="s">
        <v>297</v>
      </c>
      <c r="AZ54" s="111">
        <f>AZ51-AZ41+AZ40</f>
        <v>455</v>
      </c>
      <c r="BA54" s="111">
        <f>BA51-BA41+BA40</f>
        <v>380.5034911262365</v>
      </c>
      <c r="BB54" s="111">
        <f>BB51-BB41+BB40</f>
        <v>455</v>
      </c>
      <c r="BC54" s="111">
        <f>BC51-BC41+BC40</f>
        <v>733.78047003829806</v>
      </c>
      <c r="BD54" s="111"/>
      <c r="BE54" s="111"/>
      <c r="BF54" s="111"/>
    </row>
    <row r="55" spans="20:58" x14ac:dyDescent="0.25">
      <c r="X55" s="99" t="s">
        <v>270</v>
      </c>
      <c r="Y55">
        <f>V31</f>
        <v>64.067999999999998</v>
      </c>
      <c r="AE55">
        <f>AE54/AE46</f>
        <v>20.985008941363994</v>
      </c>
      <c r="AF55" t="s">
        <v>353</v>
      </c>
      <c r="AV55" s="111"/>
      <c r="AW55" s="111"/>
      <c r="AX55" s="111"/>
      <c r="AY55" s="111"/>
      <c r="AZ55" s="111"/>
      <c r="BA55" s="111"/>
      <c r="BB55" s="111"/>
      <c r="BC55" s="111">
        <f>SUM(AZ54:BC54)</f>
        <v>2024.2839611645345</v>
      </c>
      <c r="BD55" s="116" t="s">
        <v>305</v>
      </c>
      <c r="BE55" s="111"/>
      <c r="BF55" s="111"/>
    </row>
    <row r="56" spans="20:58" x14ac:dyDescent="0.25">
      <c r="X56" s="99" t="s">
        <v>271</v>
      </c>
      <c r="Y56" s="97">
        <f>Y55*A30</f>
        <v>242.78824872000001</v>
      </c>
      <c r="AV56" s="111"/>
      <c r="AW56" s="111"/>
      <c r="AX56" s="111"/>
      <c r="AY56" s="111"/>
      <c r="AZ56" s="111"/>
      <c r="BA56" s="111"/>
      <c r="BB56" s="111"/>
      <c r="BC56" s="111"/>
      <c r="BD56" s="111"/>
      <c r="BE56" s="111"/>
      <c r="BF56" s="111"/>
    </row>
    <row r="57" spans="20:58" x14ac:dyDescent="0.25">
      <c r="X57" s="99" t="s">
        <v>272</v>
      </c>
      <c r="Y57">
        <f>U16-V16</f>
        <v>247.67522</v>
      </c>
    </row>
    <row r="58" spans="20:58" x14ac:dyDescent="0.25">
      <c r="X58" s="99" t="s">
        <v>274</v>
      </c>
      <c r="Y58">
        <f>W16-X16</f>
        <v>183.68986999999998</v>
      </c>
    </row>
    <row r="59" spans="20:58" x14ac:dyDescent="0.25">
      <c r="X59" s="99" t="s">
        <v>273</v>
      </c>
      <c r="Y59">
        <f>Y56-Y57-Y58</f>
        <v>-188.57684127999997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2"/>
  <sheetViews>
    <sheetView topLeftCell="A19" zoomScaleNormal="100" workbookViewId="0">
      <selection activeCell="N60" sqref="N60"/>
    </sheetView>
  </sheetViews>
  <sheetFormatPr defaultRowHeight="15" x14ac:dyDescent="0.25"/>
  <cols>
    <col min="3" max="3" width="12" customWidth="1"/>
    <col min="21" max="21" width="12" bestFit="1" customWidth="1"/>
    <col min="25" max="25" width="10.85546875" customWidth="1"/>
    <col min="30" max="58" width="9.140625" style="145"/>
  </cols>
  <sheetData>
    <row r="1" spans="1:53" x14ac:dyDescent="0.25">
      <c r="A1" t="s">
        <v>623</v>
      </c>
      <c r="AE1" s="146" t="s">
        <v>285</v>
      </c>
    </row>
    <row r="2" spans="1:53" x14ac:dyDescent="0.25">
      <c r="A2" t="s">
        <v>624</v>
      </c>
      <c r="AE2" s="146" t="s">
        <v>286</v>
      </c>
    </row>
    <row r="3" spans="1:53" x14ac:dyDescent="0.25">
      <c r="A3" t="s">
        <v>228</v>
      </c>
      <c r="M3" t="s">
        <v>219</v>
      </c>
      <c r="AE3" s="147">
        <f>A6</f>
        <v>455</v>
      </c>
      <c r="AF3" s="147" t="s">
        <v>401</v>
      </c>
      <c r="AU3" s="145" t="s">
        <v>361</v>
      </c>
    </row>
    <row r="4" spans="1:53" x14ac:dyDescent="0.25">
      <c r="A4" s="59" t="s">
        <v>225</v>
      </c>
      <c r="M4" t="s">
        <v>220</v>
      </c>
      <c r="AE4" s="145">
        <f>AE3/(1-AE6)</f>
        <v>613.70000000000005</v>
      </c>
      <c r="AF4" s="145" t="s">
        <v>400</v>
      </c>
      <c r="AU4" s="145" t="s">
        <v>362</v>
      </c>
    </row>
    <row r="5" spans="1:53" x14ac:dyDescent="0.25">
      <c r="A5" t="s">
        <v>183</v>
      </c>
      <c r="B5" t="s">
        <v>237</v>
      </c>
      <c r="M5" t="s">
        <v>257</v>
      </c>
      <c r="T5" t="s">
        <v>229</v>
      </c>
      <c r="U5">
        <v>0</v>
      </c>
      <c r="V5">
        <v>1</v>
      </c>
      <c r="W5">
        <v>2</v>
      </c>
      <c r="X5">
        <v>3</v>
      </c>
      <c r="AE5" s="148">
        <v>0.11</v>
      </c>
      <c r="AF5" s="145" t="s">
        <v>290</v>
      </c>
      <c r="AV5" s="145" t="s">
        <v>229</v>
      </c>
      <c r="AW5" s="145">
        <v>0</v>
      </c>
      <c r="AX5" s="145">
        <v>1</v>
      </c>
      <c r="AY5" s="145">
        <v>2</v>
      </c>
      <c r="AZ5" s="145">
        <v>3</v>
      </c>
    </row>
    <row r="6" spans="1:53" x14ac:dyDescent="0.25">
      <c r="A6">
        <v>455</v>
      </c>
      <c r="B6">
        <f>ParameterEstimation650MWPlant!D23</f>
        <v>455</v>
      </c>
      <c r="C6" t="s">
        <v>41</v>
      </c>
      <c r="D6" t="s">
        <v>224</v>
      </c>
      <c r="M6" t="s">
        <v>221</v>
      </c>
      <c r="T6" s="105" t="s">
        <v>230</v>
      </c>
      <c r="AE6" s="148">
        <f>ParameterEstimation650MWPlant!H23</f>
        <v>0.25859540492097122</v>
      </c>
      <c r="AF6" s="145" t="s">
        <v>291</v>
      </c>
      <c r="AV6" s="149" t="s">
        <v>293</v>
      </c>
    </row>
    <row r="7" spans="1:53" x14ac:dyDescent="0.25">
      <c r="A7">
        <v>158.69999999999999</v>
      </c>
      <c r="B7">
        <f>ParameterEstimation650MWPlant!D22-ParameterEstimation650MWPlant!D23</f>
        <v>158.70000000000005</v>
      </c>
      <c r="C7" t="s">
        <v>41</v>
      </c>
      <c r="D7" t="s">
        <v>236</v>
      </c>
      <c r="M7" t="s">
        <v>222</v>
      </c>
      <c r="T7" s="99" t="s">
        <v>238</v>
      </c>
      <c r="U7" s="97">
        <f>A6</f>
        <v>455</v>
      </c>
      <c r="V7" s="97">
        <f>A6</f>
        <v>455</v>
      </c>
      <c r="W7" s="97">
        <f>A6</f>
        <v>455</v>
      </c>
      <c r="X7" s="97">
        <f>A6</f>
        <v>455</v>
      </c>
      <c r="AE7" s="148">
        <f>AE6-AE5</f>
        <v>0.14859540492097123</v>
      </c>
      <c r="AF7" s="145" t="s">
        <v>292</v>
      </c>
      <c r="AV7" s="150" t="s">
        <v>295</v>
      </c>
      <c r="AW7" s="145">
        <f>AE3</f>
        <v>455</v>
      </c>
      <c r="AX7" s="145">
        <f>AE3</f>
        <v>455</v>
      </c>
      <c r="AY7" s="145">
        <f>AE3</f>
        <v>455</v>
      </c>
      <c r="AZ7" s="145">
        <f>AE3</f>
        <v>455</v>
      </c>
    </row>
    <row r="8" spans="1:53" x14ac:dyDescent="0.25">
      <c r="A8">
        <v>7431</v>
      </c>
      <c r="B8">
        <f>ParameterEstimation650MWPlant!F23</f>
        <v>7431</v>
      </c>
      <c r="C8" t="s">
        <v>42</v>
      </c>
      <c r="D8" t="s">
        <v>227</v>
      </c>
      <c r="T8" s="99" t="s">
        <v>239</v>
      </c>
      <c r="U8" s="97">
        <f>A8</f>
        <v>7431</v>
      </c>
      <c r="V8" s="97">
        <f>A8</f>
        <v>7431</v>
      </c>
      <c r="W8" s="97">
        <f>A8</f>
        <v>7431</v>
      </c>
      <c r="X8" s="97">
        <f>A8</f>
        <v>7431</v>
      </c>
      <c r="AE8" s="145">
        <f>AE3*A9/A6</f>
        <v>46.53</v>
      </c>
      <c r="AF8" s="145" t="s">
        <v>301</v>
      </c>
      <c r="AV8" s="150"/>
      <c r="AZ8" s="145">
        <f>SUM(AW7:AZ7)</f>
        <v>1820</v>
      </c>
      <c r="BA8" s="146" t="s">
        <v>305</v>
      </c>
    </row>
    <row r="9" spans="1:53" x14ac:dyDescent="0.25">
      <c r="A9">
        <v>46.53</v>
      </c>
      <c r="B9">
        <f>ParameterEstimation650MWPlant!E23</f>
        <v>46.53</v>
      </c>
      <c r="C9" t="s">
        <v>41</v>
      </c>
      <c r="D9" t="s">
        <v>166</v>
      </c>
      <c r="P9" s="59"/>
      <c r="T9" s="99" t="s">
        <v>235</v>
      </c>
      <c r="U9" s="97">
        <f>A9</f>
        <v>46.53</v>
      </c>
      <c r="V9" s="97">
        <f>A9</f>
        <v>46.53</v>
      </c>
      <c r="W9" s="97">
        <f>A9</f>
        <v>46.53</v>
      </c>
      <c r="X9" s="97">
        <f>A9</f>
        <v>46.53</v>
      </c>
      <c r="AE9" s="145">
        <f>A6/A9</f>
        <v>9.7786374382119057</v>
      </c>
      <c r="AF9" s="145" t="s">
        <v>323</v>
      </c>
      <c r="AV9" s="149" t="s">
        <v>354</v>
      </c>
    </row>
    <row r="10" spans="1:53" x14ac:dyDescent="0.25">
      <c r="A10">
        <f>A7-A9</f>
        <v>112.16999999999999</v>
      </c>
      <c r="B10" t="s">
        <v>45</v>
      </c>
      <c r="C10" t="s">
        <v>41</v>
      </c>
      <c r="D10" t="s">
        <v>231</v>
      </c>
      <c r="T10" s="99" t="s">
        <v>234</v>
      </c>
      <c r="U10" s="97">
        <f>A10</f>
        <v>112.16999999999999</v>
      </c>
      <c r="V10" s="97">
        <f>A10</f>
        <v>112.16999999999999</v>
      </c>
      <c r="W10" s="97">
        <f>A10</f>
        <v>112.16999999999999</v>
      </c>
      <c r="X10" s="97">
        <f>A10</f>
        <v>112.16999999999999</v>
      </c>
      <c r="AE10" s="148">
        <v>0.2</v>
      </c>
      <c r="AF10" s="145" t="s">
        <v>304</v>
      </c>
      <c r="AV10" s="150" t="s">
        <v>295</v>
      </c>
      <c r="AW10" s="145">
        <f>AW13*$AE$9</f>
        <v>455</v>
      </c>
      <c r="AX10" s="145">
        <f>AX13*$AE$9</f>
        <v>90.999999999999972</v>
      </c>
      <c r="AY10" s="145">
        <f>AY13*$AE$9</f>
        <v>455</v>
      </c>
      <c r="AZ10" s="145">
        <f>AZ19-AZ16</f>
        <v>95.054079786399654</v>
      </c>
    </row>
    <row r="11" spans="1:53" x14ac:dyDescent="0.25">
      <c r="A11">
        <v>2.1356E-2</v>
      </c>
      <c r="B11">
        <f>1/ParameterEstimation650MWPlant!A72</f>
        <v>2.1356479612434403E-2</v>
      </c>
      <c r="C11" t="s">
        <v>249</v>
      </c>
      <c r="D11" t="s">
        <v>248</v>
      </c>
      <c r="T11" s="99" t="s">
        <v>233</v>
      </c>
      <c r="U11" s="97">
        <f>U10+U9</f>
        <v>158.69999999999999</v>
      </c>
      <c r="V11" s="97">
        <f>V10+V9</f>
        <v>158.69999999999999</v>
      </c>
      <c r="W11" s="97">
        <f>W10+W9</f>
        <v>158.69999999999999</v>
      </c>
      <c r="X11" s="97">
        <f>X10+X9</f>
        <v>158.69999999999999</v>
      </c>
      <c r="AE11" s="145">
        <f>AE10*AE3</f>
        <v>91</v>
      </c>
      <c r="AF11" s="145" t="s">
        <v>306</v>
      </c>
      <c r="AV11" s="150" t="s">
        <v>294</v>
      </c>
      <c r="AW11" s="145">
        <v>0</v>
      </c>
      <c r="AX11" s="145">
        <f>AE30</f>
        <v>37.224000000000004</v>
      </c>
      <c r="AY11" s="145">
        <v>0</v>
      </c>
      <c r="AZ11" s="145">
        <v>0</v>
      </c>
    </row>
    <row r="12" spans="1:53" x14ac:dyDescent="0.25">
      <c r="A12">
        <v>6.123E-2</v>
      </c>
      <c r="B12">
        <f>ParameterEstimation650MWPlant!A74</f>
        <v>6.1229982505719281E-2</v>
      </c>
      <c r="C12" t="s">
        <v>249</v>
      </c>
      <c r="D12" t="s">
        <v>253</v>
      </c>
      <c r="T12" s="99" t="s">
        <v>407</v>
      </c>
      <c r="U12" s="97">
        <f>$A$6+$A$7</f>
        <v>613.70000000000005</v>
      </c>
      <c r="V12" s="97">
        <f>$A$6+$A$7</f>
        <v>613.70000000000005</v>
      </c>
      <c r="W12" s="97">
        <f>$A$6+$A$7</f>
        <v>613.70000000000005</v>
      </c>
      <c r="X12" s="97">
        <f>$A$6+$A$7</f>
        <v>613.70000000000005</v>
      </c>
      <c r="AE12" s="145">
        <f>(ParameterEstimation650MWPlant!F23/ParameterEstimation650MWPlant!E23)</f>
        <v>159.70341715022565</v>
      </c>
      <c r="AF12" s="145" t="s">
        <v>344</v>
      </c>
      <c r="AV12" s="150" t="s">
        <v>300</v>
      </c>
      <c r="AW12" s="145">
        <f>$AE$8-AW11</f>
        <v>46.53</v>
      </c>
      <c r="AX12" s="145">
        <f>$AE$8-AX11</f>
        <v>9.3059999999999974</v>
      </c>
      <c r="AY12" s="145">
        <f>$AE$8-AY11</f>
        <v>46.53</v>
      </c>
      <c r="AZ12" s="145">
        <f>AZ10/AE9</f>
        <v>9.7205853460685194</v>
      </c>
    </row>
    <row r="13" spans="1:53" x14ac:dyDescent="0.25">
      <c r="A13">
        <f>A10/(A9+A10)</f>
        <v>0.70680529300567108</v>
      </c>
      <c r="B13" t="s">
        <v>45</v>
      </c>
      <c r="C13" t="s">
        <v>139</v>
      </c>
      <c r="D13" t="s">
        <v>259</v>
      </c>
      <c r="X13">
        <f>SUM(U7:X7)</f>
        <v>1820</v>
      </c>
      <c r="Y13" s="59" t="s">
        <v>267</v>
      </c>
      <c r="AE13" s="145">
        <f>V58</f>
        <v>0</v>
      </c>
      <c r="AF13" s="151" t="s">
        <v>386</v>
      </c>
      <c r="AV13" s="150" t="s">
        <v>388</v>
      </c>
      <c r="AW13" s="145">
        <f>AW12-AW14</f>
        <v>46.53</v>
      </c>
      <c r="AX13" s="145">
        <f>AX12-AX14</f>
        <v>9.3059999999999974</v>
      </c>
      <c r="AY13" s="145">
        <f>AY12-AY14</f>
        <v>46.53</v>
      </c>
      <c r="AZ13" s="145">
        <f>AZ12-AZ14</f>
        <v>9.7205853460685194</v>
      </c>
    </row>
    <row r="14" spans="1:53" x14ac:dyDescent="0.25">
      <c r="A14">
        <f>A9/(A10+A9)</f>
        <v>0.29319470699432892</v>
      </c>
      <c r="B14" t="s">
        <v>45</v>
      </c>
      <c r="C14" t="s">
        <v>139</v>
      </c>
      <c r="D14" t="s">
        <v>260</v>
      </c>
      <c r="X14">
        <f>SUM(U12:X12)</f>
        <v>2454.8000000000002</v>
      </c>
      <c r="Y14" s="59" t="s">
        <v>408</v>
      </c>
      <c r="AG14" s="145" t="s">
        <v>387</v>
      </c>
      <c r="AV14" s="150" t="s">
        <v>389</v>
      </c>
      <c r="AW14" s="145">
        <v>0</v>
      </c>
      <c r="AX14" s="145">
        <f>AX11*AE13</f>
        <v>0</v>
      </c>
      <c r="AY14" s="145">
        <v>0</v>
      </c>
      <c r="AZ14" s="145">
        <v>0</v>
      </c>
    </row>
    <row r="15" spans="1:53" x14ac:dyDescent="0.25">
      <c r="A15">
        <v>9.7786299999999997</v>
      </c>
      <c r="B15">
        <f>ParameterEstimation650MWPlant!D23/ParameterEstimation650MWPlant!E23</f>
        <v>9.7786374382119057</v>
      </c>
      <c r="C15" t="s">
        <v>139</v>
      </c>
      <c r="D15" t="s">
        <v>349</v>
      </c>
      <c r="T15" s="105" t="s">
        <v>232</v>
      </c>
      <c r="U15" s="97"/>
      <c r="V15" s="97"/>
      <c r="W15" s="97"/>
      <c r="X15" s="97"/>
      <c r="Z15" s="7" t="s">
        <v>279</v>
      </c>
      <c r="AE15" s="146" t="s">
        <v>288</v>
      </c>
      <c r="AK15" s="150"/>
      <c r="AV15" s="150" t="s">
        <v>356</v>
      </c>
      <c r="AW15" s="145">
        <f>SUM(AW11:AW12)*$AE$12</f>
        <v>7430.9999999999991</v>
      </c>
      <c r="AX15" s="145">
        <f>SUM(AX11:AX12)*$AE$12</f>
        <v>7430.9999999999991</v>
      </c>
      <c r="AY15" s="145">
        <f>SUM(AY11:AY12)*$AE$12</f>
        <v>7430.9999999999991</v>
      </c>
      <c r="AZ15" s="145">
        <f>SUM(AZ11:AZ12)*$AE$12</f>
        <v>1552.4106964675514</v>
      </c>
    </row>
    <row r="16" spans="1:53" x14ac:dyDescent="0.25">
      <c r="A16">
        <v>12.10852</v>
      </c>
      <c r="B16">
        <f>ParameterEstimation650MWPlant!F23/(ParameterEstimation650MWPlant!D23+ParameterEstimation650MWPlant!A71)</f>
        <v>12.108522079191786</v>
      </c>
      <c r="C16" t="s">
        <v>372</v>
      </c>
      <c r="D16" t="s">
        <v>373</v>
      </c>
      <c r="T16" s="99" t="s">
        <v>264</v>
      </c>
      <c r="U16" s="97">
        <f>A6</f>
        <v>455</v>
      </c>
      <c r="V16" s="97">
        <f>V20*A12</f>
        <v>207.24067285714287</v>
      </c>
      <c r="W16" s="97">
        <f>A6</f>
        <v>455</v>
      </c>
      <c r="X16" s="97">
        <f>X20*A12</f>
        <v>271.31013000000002</v>
      </c>
      <c r="Y16" t="s">
        <v>281</v>
      </c>
      <c r="Z16">
        <f>Z19*A12</f>
        <v>0</v>
      </c>
      <c r="AE16" s="152" t="s">
        <v>298</v>
      </c>
      <c r="AK16" s="150"/>
      <c r="AV16" s="150" t="s">
        <v>296</v>
      </c>
      <c r="AW16" s="145">
        <v>0</v>
      </c>
      <c r="AX16" s="145">
        <v>0</v>
      </c>
      <c r="AY16" s="145">
        <v>0</v>
      </c>
      <c r="AZ16" s="145">
        <f>AX11*AE21</f>
        <v>481.63611278323555</v>
      </c>
      <c r="BA16" s="153"/>
    </row>
    <row r="17" spans="1:53" x14ac:dyDescent="0.25">
      <c r="A17">
        <f>B17</f>
        <v>0.33143229591005374</v>
      </c>
      <c r="B17">
        <f>ParameterEstimation650MWPlant!A90</f>
        <v>0.33143229591005374</v>
      </c>
      <c r="C17" t="s">
        <v>497</v>
      </c>
      <c r="D17" t="s">
        <v>496</v>
      </c>
      <c r="T17" s="99" t="s">
        <v>265</v>
      </c>
      <c r="U17">
        <v>0</v>
      </c>
      <c r="V17">
        <v>0</v>
      </c>
      <c r="W17">
        <v>0</v>
      </c>
      <c r="X17">
        <f>$A$29*X23</f>
        <v>242.79300000000001</v>
      </c>
      <c r="Y17" t="s">
        <v>282</v>
      </c>
      <c r="Z17">
        <f>$A$29*Z21</f>
        <v>601.39826100000005</v>
      </c>
      <c r="AE17" s="148">
        <v>0.9</v>
      </c>
      <c r="AF17" s="145" t="s">
        <v>58</v>
      </c>
      <c r="AK17" s="150"/>
      <c r="AV17" s="150" t="s">
        <v>357</v>
      </c>
      <c r="AW17" s="145">
        <f>AW16/$A$29</f>
        <v>0</v>
      </c>
      <c r="AX17" s="145">
        <f>AX16/$A$29</f>
        <v>0</v>
      </c>
      <c r="AY17" s="145">
        <f>AY16/$A$29</f>
        <v>0</v>
      </c>
      <c r="AZ17" s="145">
        <f>AZ16/$A$29</f>
        <v>5951.1943851334536</v>
      </c>
    </row>
    <row r="18" spans="1:53" x14ac:dyDescent="0.25">
      <c r="T18" s="99" t="s">
        <v>266</v>
      </c>
      <c r="U18" s="59">
        <f>U17+U16</f>
        <v>455</v>
      </c>
      <c r="V18" s="59">
        <f>V17+V16</f>
        <v>207.24067285714287</v>
      </c>
      <c r="W18" s="59">
        <f>W17+W16</f>
        <v>455</v>
      </c>
      <c r="X18" s="59">
        <f>X17+X16</f>
        <v>514.10312999999996</v>
      </c>
      <c r="Y18" s="97" t="s">
        <v>278</v>
      </c>
      <c r="Z18">
        <f>Z17+Z16</f>
        <v>601.39826100000005</v>
      </c>
      <c r="AE18" s="154">
        <f>(AE17*AE5+AE7)/AE6</f>
        <v>0.95746250787649656</v>
      </c>
      <c r="AF18" s="145" t="s">
        <v>59</v>
      </c>
      <c r="AJ18" s="145">
        <f>AE19*(3.4)</f>
        <v>12.884436000000001</v>
      </c>
      <c r="AK18" s="150"/>
      <c r="AV18" s="150" t="s">
        <v>359</v>
      </c>
      <c r="AW18" s="145">
        <v>0</v>
      </c>
      <c r="AX18" s="145">
        <v>0</v>
      </c>
      <c r="AY18" s="145">
        <v>0</v>
      </c>
      <c r="AZ18" s="153">
        <f>AZ17/AY15</f>
        <v>0.80086050129638731</v>
      </c>
    </row>
    <row r="19" spans="1:53" x14ac:dyDescent="0.25">
      <c r="A19" s="59" t="s">
        <v>489</v>
      </c>
      <c r="T19" s="99" t="s">
        <v>378</v>
      </c>
      <c r="U19" s="97">
        <f>A8</f>
        <v>7431</v>
      </c>
      <c r="V19" s="97">
        <f>U19-V22</f>
        <v>4431</v>
      </c>
      <c r="W19" s="97">
        <f>W8</f>
        <v>7431</v>
      </c>
      <c r="X19" s="97">
        <f>W24-X23</f>
        <v>4431</v>
      </c>
      <c r="Y19" s="97" t="s">
        <v>284</v>
      </c>
      <c r="Z19">
        <f>W24-Z21</f>
        <v>0</v>
      </c>
      <c r="AE19" s="145">
        <f>A30</f>
        <v>3.7895400000000001</v>
      </c>
      <c r="AF19" s="145" t="s">
        <v>307</v>
      </c>
      <c r="AK19" s="150"/>
      <c r="AV19" s="150" t="s">
        <v>360</v>
      </c>
      <c r="AW19" s="145">
        <f>AW18*$AE$23</f>
        <v>0</v>
      </c>
      <c r="AX19" s="145">
        <f>AX18*$AE$23</f>
        <v>0</v>
      </c>
      <c r="AY19" s="145">
        <f>AY18*$AE$23</f>
        <v>0</v>
      </c>
      <c r="AZ19" s="145">
        <f>AZ18*($AE$23-$AE$3)+$AE$3</f>
        <v>576.6901925696352</v>
      </c>
    </row>
    <row r="20" spans="1:53" x14ac:dyDescent="0.25">
      <c r="A20" t="s">
        <v>183</v>
      </c>
      <c r="B20" t="s">
        <v>237</v>
      </c>
      <c r="T20" s="99" t="s">
        <v>379</v>
      </c>
      <c r="U20">
        <f>U19</f>
        <v>7431</v>
      </c>
      <c r="V20" s="110">
        <f>V19-V21</f>
        <v>3384.6263736263736</v>
      </c>
      <c r="W20">
        <f>W19</f>
        <v>7431</v>
      </c>
      <c r="X20">
        <f>X19</f>
        <v>4431</v>
      </c>
      <c r="Y20" s="97" t="s">
        <v>457</v>
      </c>
      <c r="Z20">
        <v>0</v>
      </c>
      <c r="AF20" s="145" t="s">
        <v>321</v>
      </c>
      <c r="AK20" s="150"/>
      <c r="AV20" s="150" t="s">
        <v>358</v>
      </c>
      <c r="AW20" s="145">
        <f>AW17+AW15</f>
        <v>7430.9999999999991</v>
      </c>
      <c r="AX20" s="145">
        <f>AX17+AX15</f>
        <v>7430.9999999999991</v>
      </c>
      <c r="AY20" s="145">
        <f>AY17+AY15</f>
        <v>7430.9999999999991</v>
      </c>
      <c r="AZ20" s="145">
        <f>AZ17+AZ15</f>
        <v>7503.6050816010047</v>
      </c>
    </row>
    <row r="21" spans="1:53" x14ac:dyDescent="0.25">
      <c r="A21">
        <v>601.4</v>
      </c>
      <c r="B21">
        <f>ParameterEstimation650MWPlant!D24</f>
        <v>601.4</v>
      </c>
      <c r="C21" t="s">
        <v>41</v>
      </c>
      <c r="D21" t="s">
        <v>224</v>
      </c>
      <c r="T21" s="99" t="s">
        <v>380</v>
      </c>
      <c r="U21">
        <f>U19-U20</f>
        <v>0</v>
      </c>
      <c r="V21" s="136">
        <f>V22*A37</f>
        <v>1046.3736263736264</v>
      </c>
      <c r="W21">
        <f>W19-W20</f>
        <v>0</v>
      </c>
      <c r="X21">
        <f>X19-X20</f>
        <v>0</v>
      </c>
      <c r="Y21" t="s">
        <v>283</v>
      </c>
      <c r="Z21">
        <v>7431</v>
      </c>
      <c r="AE21" s="147">
        <f>AE19*(1+ParameterEstimation650MWPlant!AD14)</f>
        <v>12.938859681475272</v>
      </c>
      <c r="AF21" s="147" t="s">
        <v>324</v>
      </c>
      <c r="AK21" s="150"/>
      <c r="AV21" s="150" t="s">
        <v>302</v>
      </c>
      <c r="AW21" s="145">
        <v>0</v>
      </c>
      <c r="AX21" s="145">
        <v>0</v>
      </c>
      <c r="AY21" s="145">
        <v>0</v>
      </c>
      <c r="AZ21" s="145">
        <f>AX11</f>
        <v>37.224000000000004</v>
      </c>
    </row>
    <row r="22" spans="1:53" x14ac:dyDescent="0.25">
      <c r="A22">
        <v>7431</v>
      </c>
      <c r="B22">
        <f>ParameterEstimation650MWPlant!F24</f>
        <v>7431</v>
      </c>
      <c r="C22" t="s">
        <v>42</v>
      </c>
      <c r="D22" t="s">
        <v>227</v>
      </c>
      <c r="T22" s="99" t="s">
        <v>262</v>
      </c>
      <c r="U22" s="97">
        <v>0</v>
      </c>
      <c r="V22" s="97">
        <f>A25</f>
        <v>3000</v>
      </c>
      <c r="W22" s="97">
        <v>0</v>
      </c>
      <c r="X22" s="97">
        <v>0</v>
      </c>
      <c r="Y22" t="s">
        <v>280</v>
      </c>
      <c r="Z22">
        <f>Z19+Z21</f>
        <v>7431</v>
      </c>
      <c r="AF22" s="147" t="s">
        <v>325</v>
      </c>
      <c r="AK22" s="150"/>
      <c r="AV22" s="150" t="s">
        <v>303</v>
      </c>
      <c r="AW22" s="145">
        <v>0</v>
      </c>
      <c r="AX22" s="145">
        <v>0</v>
      </c>
      <c r="AY22" s="145">
        <v>0</v>
      </c>
      <c r="AZ22" s="145">
        <f>AZ16-AZ21</f>
        <v>444.41211278323556</v>
      </c>
    </row>
    <row r="23" spans="1:53" x14ac:dyDescent="0.25">
      <c r="A23">
        <v>4.55</v>
      </c>
      <c r="B23">
        <f>ParameterEstimation650MWPlant!E24</f>
        <v>4.55</v>
      </c>
      <c r="C23" t="s">
        <v>41</v>
      </c>
      <c r="D23" t="s">
        <v>166</v>
      </c>
      <c r="T23" s="99" t="s">
        <v>263</v>
      </c>
      <c r="U23" s="97">
        <v>0</v>
      </c>
      <c r="V23" s="97">
        <v>0</v>
      </c>
      <c r="W23" s="97">
        <v>0</v>
      </c>
      <c r="X23" s="97">
        <f>W26</f>
        <v>3000</v>
      </c>
      <c r="Z23">
        <f>Z21</f>
        <v>7431</v>
      </c>
      <c r="AE23" s="145">
        <f>AE3+(AE4-AE3)*AE18</f>
        <v>606.94929999999999</v>
      </c>
      <c r="AF23" s="145" t="s">
        <v>308</v>
      </c>
      <c r="AV23" s="150" t="s">
        <v>322</v>
      </c>
      <c r="AW23" s="145">
        <f>AW16+AW10</f>
        <v>455</v>
      </c>
      <c r="AX23" s="145">
        <f>AX16+AX10</f>
        <v>90.999999999999972</v>
      </c>
      <c r="AY23" s="145">
        <f>AY16+AY10</f>
        <v>455</v>
      </c>
      <c r="AZ23" s="145">
        <f>AZ16+AZ10</f>
        <v>576.6901925696352</v>
      </c>
    </row>
    <row r="24" spans="1:53" x14ac:dyDescent="0.25">
      <c r="A24">
        <v>0</v>
      </c>
      <c r="B24" t="s">
        <v>45</v>
      </c>
      <c r="C24" t="s">
        <v>41</v>
      </c>
      <c r="D24" t="s">
        <v>231</v>
      </c>
      <c r="T24" s="99" t="s">
        <v>275</v>
      </c>
      <c r="U24">
        <f>U19+U23</f>
        <v>7431</v>
      </c>
      <c r="V24">
        <f>V19+V23</f>
        <v>4431</v>
      </c>
      <c r="W24">
        <f>W19+W23</f>
        <v>7431</v>
      </c>
      <c r="X24">
        <f>X19+X23</f>
        <v>7431</v>
      </c>
      <c r="Z24">
        <v>0</v>
      </c>
      <c r="AZ24" s="145">
        <f>SUM(AW23:AZ23)</f>
        <v>1577.6901925696352</v>
      </c>
      <c r="BA24" s="146" t="s">
        <v>305</v>
      </c>
    </row>
    <row r="25" spans="1:53" x14ac:dyDescent="0.25">
      <c r="A25">
        <v>3000</v>
      </c>
      <c r="B25" t="s">
        <v>45</v>
      </c>
      <c r="C25" t="s">
        <v>42</v>
      </c>
      <c r="D25" t="s">
        <v>252</v>
      </c>
      <c r="T25" s="99" t="s">
        <v>240</v>
      </c>
      <c r="U25" s="97">
        <f>A26</f>
        <v>3000</v>
      </c>
      <c r="V25" s="97">
        <f>U25-V22</f>
        <v>0</v>
      </c>
      <c r="W25" s="97">
        <f>V25</f>
        <v>0</v>
      </c>
      <c r="X25" s="97">
        <f>X23</f>
        <v>3000</v>
      </c>
      <c r="Z25" s="97">
        <f>Z19*$A$28</f>
        <v>0</v>
      </c>
      <c r="AE25" s="147" t="s">
        <v>332</v>
      </c>
      <c r="AZ25" s="145">
        <f>(AZ24-AZ8)/AZ8</f>
        <v>-0.13313725682987076</v>
      </c>
      <c r="BA25" s="146" t="s">
        <v>402</v>
      </c>
    </row>
    <row r="26" spans="1:53" x14ac:dyDescent="0.25">
      <c r="A26">
        <f>A25</f>
        <v>3000</v>
      </c>
      <c r="B26" t="s">
        <v>45</v>
      </c>
      <c r="C26" t="s">
        <v>42</v>
      </c>
      <c r="D26" t="s">
        <v>251</v>
      </c>
      <c r="T26" s="99" t="s">
        <v>241</v>
      </c>
      <c r="U26" s="97">
        <f>A27</f>
        <v>0</v>
      </c>
      <c r="V26" s="97">
        <f>U26+V22</f>
        <v>3000</v>
      </c>
      <c r="W26" s="97">
        <f>V26</f>
        <v>3000</v>
      </c>
      <c r="X26" s="97">
        <v>0</v>
      </c>
      <c r="Z26" s="97">
        <f>Z25*$A$14</f>
        <v>0</v>
      </c>
      <c r="AE26" s="145" t="s">
        <v>333</v>
      </c>
      <c r="AV26" s="149" t="s">
        <v>355</v>
      </c>
      <c r="AW26" s="152"/>
    </row>
    <row r="27" spans="1:53" x14ac:dyDescent="0.25">
      <c r="A27">
        <v>0</v>
      </c>
      <c r="B27" t="s">
        <v>45</v>
      </c>
      <c r="C27" t="s">
        <v>42</v>
      </c>
      <c r="D27" t="s">
        <v>250</v>
      </c>
      <c r="T27" s="99" t="s">
        <v>261</v>
      </c>
      <c r="U27" s="97">
        <f>U19*$A$28</f>
        <v>158.69643600000001</v>
      </c>
      <c r="V27" s="97">
        <f>V19*$A$28</f>
        <v>94.628435999999994</v>
      </c>
      <c r="W27" s="97">
        <f>W19*$A$28</f>
        <v>158.69643600000001</v>
      </c>
      <c r="X27" s="97">
        <f>X19*$A$28</f>
        <v>94.628435999999994</v>
      </c>
      <c r="Z27" s="97">
        <f>Z25*$A$13</f>
        <v>0</v>
      </c>
      <c r="AE27" s="145" t="s">
        <v>334</v>
      </c>
      <c r="AV27" s="150" t="s">
        <v>295</v>
      </c>
      <c r="AW27" s="145">
        <f>AE3</f>
        <v>455</v>
      </c>
      <c r="AX27" s="145">
        <f>AX30*$AE$9</f>
        <v>90.999999999999972</v>
      </c>
      <c r="AY27" s="145">
        <f>AE3</f>
        <v>455</v>
      </c>
      <c r="AZ27" s="145">
        <f>AE3</f>
        <v>455</v>
      </c>
    </row>
    <row r="28" spans="1:53" x14ac:dyDescent="0.25">
      <c r="A28">
        <f>A11</f>
        <v>2.1356E-2</v>
      </c>
      <c r="B28" t="s">
        <v>45</v>
      </c>
      <c r="C28" t="s">
        <v>249</v>
      </c>
      <c r="D28" t="s">
        <v>254</v>
      </c>
      <c r="T28" s="99" t="s">
        <v>244</v>
      </c>
      <c r="U28" s="97">
        <f>U27*$A$14</f>
        <v>46.528955054064276</v>
      </c>
      <c r="V28" s="97">
        <f>V27*$A$14</f>
        <v>27.744556566351605</v>
      </c>
      <c r="W28" s="97">
        <f>W27*$A$14</f>
        <v>46.528955054064276</v>
      </c>
      <c r="X28" s="97">
        <f>X27*$A$14</f>
        <v>27.744556566351605</v>
      </c>
      <c r="Z28" s="97">
        <f>Z20*$A$28</f>
        <v>0</v>
      </c>
      <c r="AE28" s="145" t="s">
        <v>335</v>
      </c>
      <c r="AV28" s="150" t="s">
        <v>294</v>
      </c>
      <c r="AW28" s="145">
        <v>0</v>
      </c>
      <c r="AX28" s="145">
        <f>AE46</f>
        <v>9.3190003567019541</v>
      </c>
      <c r="AY28" s="145">
        <v>0</v>
      </c>
      <c r="AZ28" s="145">
        <v>0</v>
      </c>
    </row>
    <row r="29" spans="1:53" x14ac:dyDescent="0.25">
      <c r="A29">
        <v>8.0931000000000003E-2</v>
      </c>
      <c r="B29">
        <f>ParameterEstimation650MWPlant!A82</f>
        <v>8.0931234019647413E-2</v>
      </c>
      <c r="C29" t="s">
        <v>249</v>
      </c>
      <c r="D29" t="s">
        <v>269</v>
      </c>
      <c r="T29" s="99" t="s">
        <v>247</v>
      </c>
      <c r="U29" s="97">
        <f>U27*$A$13</f>
        <v>112.16748094593574</v>
      </c>
      <c r="V29" s="97">
        <f>V27*$A$13</f>
        <v>66.883879433648389</v>
      </c>
      <c r="W29" s="97">
        <f>W27*$A$13</f>
        <v>112.16748094593574</v>
      </c>
      <c r="X29" s="97">
        <f>X27*$A$13</f>
        <v>66.883879433648389</v>
      </c>
      <c r="Z29" s="97">
        <f>Z28*$A$14</f>
        <v>0</v>
      </c>
      <c r="AE29" s="152" t="s">
        <v>336</v>
      </c>
      <c r="AV29" s="150" t="s">
        <v>300</v>
      </c>
      <c r="AW29" s="145">
        <f>$AE$8-AW28*$AE$47</f>
        <v>46.53</v>
      </c>
      <c r="AX29" s="145">
        <f>$AE$8-AX28*$AE$47</f>
        <v>9.3059999999999974</v>
      </c>
      <c r="AY29" s="145">
        <f>$AE$8-AY28*$AE$47</f>
        <v>46.53</v>
      </c>
      <c r="AZ29" s="145">
        <f>$AE$8-AZ28*$AE$47</f>
        <v>46.53</v>
      </c>
    </row>
    <row r="30" spans="1:53" x14ac:dyDescent="0.25">
      <c r="A30">
        <v>3.7895400000000001</v>
      </c>
      <c r="B30">
        <f>ParameterEstimation650MWPlant!A84</f>
        <v>3.789540012602393</v>
      </c>
      <c r="C30" t="s">
        <v>139</v>
      </c>
      <c r="D30" t="s">
        <v>255</v>
      </c>
      <c r="T30" s="99" t="s">
        <v>384</v>
      </c>
      <c r="U30">
        <f>U21*$A$28*$A$14</f>
        <v>0</v>
      </c>
      <c r="V30">
        <f>V21*$A$28*$A$14</f>
        <v>6.5518330549450559</v>
      </c>
      <c r="W30">
        <f>W21*$A$28*$A$14</f>
        <v>0</v>
      </c>
      <c r="X30">
        <f>X21*$A$28*$A$14</f>
        <v>0</v>
      </c>
      <c r="AE30" s="146">
        <f>AE8*(1-AE10)/(1+AE13)</f>
        <v>37.224000000000004</v>
      </c>
      <c r="AF30" s="145" t="s">
        <v>287</v>
      </c>
      <c r="AH30" s="145" t="s">
        <v>346</v>
      </c>
      <c r="AV30" s="150" t="s">
        <v>388</v>
      </c>
      <c r="AW30" s="145">
        <f>AW29-AW31</f>
        <v>46.53</v>
      </c>
      <c r="AX30" s="145">
        <f>AX29-AX31</f>
        <v>9.3059999999999974</v>
      </c>
      <c r="AY30" s="145">
        <f>AY29-AY31</f>
        <v>46.53</v>
      </c>
      <c r="AZ30" s="145">
        <f>AZ29-AZ31</f>
        <v>46.53</v>
      </c>
    </row>
    <row r="31" spans="1:53" x14ac:dyDescent="0.25">
      <c r="A31">
        <f>A26*A28</f>
        <v>64.067999999999998</v>
      </c>
      <c r="B31" t="s">
        <v>45</v>
      </c>
      <c r="C31" t="s">
        <v>199</v>
      </c>
      <c r="D31" t="s">
        <v>256</v>
      </c>
      <c r="T31" s="99" t="s">
        <v>258</v>
      </c>
      <c r="U31" s="97">
        <f>U22*$A$28</f>
        <v>0</v>
      </c>
      <c r="V31" s="97">
        <f>V22*$A$28</f>
        <v>64.067999999999998</v>
      </c>
      <c r="W31" s="97">
        <f>W22*$A$28</f>
        <v>0</v>
      </c>
      <c r="X31" s="97">
        <f>X22*$A$28</f>
        <v>0</v>
      </c>
      <c r="Z31" s="97">
        <f>Z28*$A$13</f>
        <v>0</v>
      </c>
      <c r="AF31" s="145" t="s">
        <v>309</v>
      </c>
      <c r="AV31" s="150" t="s">
        <v>389</v>
      </c>
      <c r="AW31" s="145">
        <v>0</v>
      </c>
      <c r="AX31" s="145">
        <f>AX28*AE13*AE47</f>
        <v>0</v>
      </c>
      <c r="AY31" s="145">
        <v>0</v>
      </c>
      <c r="AZ31" s="145">
        <v>0</v>
      </c>
    </row>
    <row r="32" spans="1:53" x14ac:dyDescent="0.25">
      <c r="A32">
        <f>B32</f>
        <v>0.33821084137013635</v>
      </c>
      <c r="B32">
        <f>ParameterEstimation650MWPlant!A87</f>
        <v>0.33821084137013635</v>
      </c>
      <c r="C32" t="s">
        <v>135</v>
      </c>
      <c r="D32" t="s">
        <v>501</v>
      </c>
      <c r="T32" s="99" t="s">
        <v>245</v>
      </c>
      <c r="U32" s="157">
        <f>U31*$A$14*(1-$O$51)</f>
        <v>0</v>
      </c>
      <c r="V32" s="157">
        <f>V31*$A$14*(1-$O$51)</f>
        <v>15.517546576806113</v>
      </c>
      <c r="W32" s="157">
        <f>W31*$A$14*(1-$O$51)</f>
        <v>0</v>
      </c>
      <c r="X32" s="157">
        <f>X31*$A$14*(1-$O$51)</f>
        <v>0</v>
      </c>
      <c r="Y32" t="s">
        <v>615</v>
      </c>
      <c r="Z32" s="97">
        <f>Z29+Z26</f>
        <v>0</v>
      </c>
      <c r="AF32" s="145" t="s">
        <v>310</v>
      </c>
      <c r="AV32" s="150" t="s">
        <v>296</v>
      </c>
      <c r="AW32" s="145">
        <v>0</v>
      </c>
      <c r="AX32" s="145">
        <v>0</v>
      </c>
      <c r="AY32" s="145">
        <v>0</v>
      </c>
      <c r="AZ32" s="145">
        <f>AX28*AE21</f>
        <v>120.57723798698458</v>
      </c>
    </row>
    <row r="33" spans="1:56" x14ac:dyDescent="0.25">
      <c r="T33" s="99" t="s">
        <v>246</v>
      </c>
      <c r="U33" s="97">
        <f>U31*$A$13</f>
        <v>0</v>
      </c>
      <c r="V33" s="97">
        <f>V31*$A$13</f>
        <v>45.283601512287333</v>
      </c>
      <c r="W33" s="97">
        <f>W31*$A$13</f>
        <v>0</v>
      </c>
      <c r="X33" s="97">
        <f>X31*$A$13</f>
        <v>0</v>
      </c>
      <c r="Z33" s="97">
        <f>Z31+Z27</f>
        <v>0</v>
      </c>
      <c r="AE33" s="145">
        <f>AE23/A29</f>
        <v>7499.5897740050159</v>
      </c>
      <c r="AF33" s="145" t="s">
        <v>340</v>
      </c>
      <c r="AV33" s="150" t="s">
        <v>302</v>
      </c>
      <c r="AW33" s="145">
        <v>0</v>
      </c>
      <c r="AX33" s="145">
        <v>0</v>
      </c>
      <c r="AY33" s="145">
        <v>0</v>
      </c>
      <c r="AZ33" s="145">
        <f>AX28</f>
        <v>9.3190003567019541</v>
      </c>
    </row>
    <row r="34" spans="1:56" x14ac:dyDescent="0.25">
      <c r="A34" s="59" t="s">
        <v>490</v>
      </c>
      <c r="T34" s="99" t="s">
        <v>242</v>
      </c>
      <c r="U34" s="97">
        <f t="shared" ref="U34:X35" si="0">U32+U28</f>
        <v>46.528955054064276</v>
      </c>
      <c r="V34" s="97">
        <f t="shared" si="0"/>
        <v>43.262103143157717</v>
      </c>
      <c r="W34" s="97">
        <f t="shared" si="0"/>
        <v>46.528955054064276</v>
      </c>
      <c r="X34" s="97">
        <f t="shared" si="0"/>
        <v>27.744556566351605</v>
      </c>
      <c r="Z34" s="97">
        <f>Z33+Z32</f>
        <v>0</v>
      </c>
      <c r="AE34" s="145">
        <f>AE30*AE12</f>
        <v>5944.8</v>
      </c>
      <c r="AF34" s="145" t="s">
        <v>341</v>
      </c>
      <c r="AV34" s="150" t="s">
        <v>303</v>
      </c>
      <c r="AW34" s="145">
        <v>0</v>
      </c>
      <c r="AX34" s="145">
        <v>0</v>
      </c>
      <c r="AY34" s="145">
        <v>0</v>
      </c>
      <c r="AZ34" s="145">
        <f>AZ32-AZ33</f>
        <v>111.25823763028264</v>
      </c>
    </row>
    <row r="35" spans="1:56" x14ac:dyDescent="0.25">
      <c r="A35" t="s">
        <v>183</v>
      </c>
      <c r="B35" t="s">
        <v>237</v>
      </c>
      <c r="T35" s="99" t="s">
        <v>243</v>
      </c>
      <c r="U35" s="97">
        <f t="shared" si="0"/>
        <v>112.16748094593574</v>
      </c>
      <c r="V35" s="97">
        <f t="shared" si="0"/>
        <v>112.16748094593572</v>
      </c>
      <c r="W35" s="97">
        <f t="shared" si="0"/>
        <v>112.16748094593574</v>
      </c>
      <c r="X35" s="97">
        <f t="shared" si="0"/>
        <v>66.883879433648389</v>
      </c>
      <c r="AG35" s="145" t="s">
        <v>342</v>
      </c>
      <c r="AV35" s="150" t="s">
        <v>322</v>
      </c>
      <c r="AW35" s="145">
        <f>AW27+AW32</f>
        <v>455</v>
      </c>
      <c r="AX35" s="145">
        <f>AX27+AX32</f>
        <v>90.999999999999972</v>
      </c>
      <c r="AY35" s="145">
        <f>AY27+AY32</f>
        <v>455</v>
      </c>
      <c r="AZ35" s="145">
        <f>AZ27+AZ32</f>
        <v>575.57723798698453</v>
      </c>
    </row>
    <row r="36" spans="1:56" x14ac:dyDescent="0.25">
      <c r="A36">
        <f>B36</f>
        <v>0.34879120879120878</v>
      </c>
      <c r="B36">
        <f>ParameterEstimation650MWPlant!A102</f>
        <v>0.34879120879120878</v>
      </c>
      <c r="C36" t="s">
        <v>139</v>
      </c>
      <c r="D36" s="10" t="s">
        <v>474</v>
      </c>
      <c r="T36" s="99" t="s">
        <v>233</v>
      </c>
      <c r="U36" s="97">
        <f>U35+U34</f>
        <v>158.69643600000001</v>
      </c>
      <c r="V36" s="97">
        <f>V35+V34</f>
        <v>155.42958408909345</v>
      </c>
      <c r="W36" s="97">
        <f>W35+W34</f>
        <v>158.69643600000001</v>
      </c>
      <c r="X36" s="97">
        <f>X35+X34</f>
        <v>94.628435999999994</v>
      </c>
      <c r="AG36" s="145" t="s">
        <v>343</v>
      </c>
      <c r="AZ36" s="145">
        <f>SUM(AW35:AZ35)</f>
        <v>1576.5772379869845</v>
      </c>
      <c r="BA36" s="146" t="s">
        <v>305</v>
      </c>
    </row>
    <row r="37" spans="1:56" x14ac:dyDescent="0.25">
      <c r="A37">
        <f>B37</f>
        <v>0.34879120879120878</v>
      </c>
      <c r="B37">
        <f>ParameterEstimation650MWPlant!A102</f>
        <v>0.34879120879120878</v>
      </c>
      <c r="C37" t="s">
        <v>499</v>
      </c>
      <c r="D37" s="10" t="s">
        <v>468</v>
      </c>
      <c r="T37" s="99" t="s">
        <v>374</v>
      </c>
      <c r="U37">
        <f>U16+U17+U36</f>
        <v>613.69643599999995</v>
      </c>
      <c r="V37">
        <f>V16+V17+V36</f>
        <v>362.67025694623635</v>
      </c>
      <c r="W37">
        <f>W16+W17+W36</f>
        <v>613.69643599999995</v>
      </c>
      <c r="X37">
        <f>X16+X17+X36</f>
        <v>608.73156599999993</v>
      </c>
      <c r="AE37" s="153">
        <f>AE34/AE33</f>
        <v>0.79268335724252437</v>
      </c>
      <c r="AF37" s="145" t="s">
        <v>345</v>
      </c>
    </row>
    <row r="38" spans="1:56" x14ac:dyDescent="0.25">
      <c r="A38">
        <f>B38</f>
        <v>7.0782270705053883E-3</v>
      </c>
      <c r="B38">
        <f>ParameterEstimation650MWPlant!A93</f>
        <v>7.0782270705053883E-3</v>
      </c>
      <c r="C38" t="s">
        <v>498</v>
      </c>
      <c r="D38" t="s">
        <v>491</v>
      </c>
      <c r="T38" s="99" t="s">
        <v>376</v>
      </c>
      <c r="U38">
        <f>U37*$A$16</f>
        <v>7430.9555692347194</v>
      </c>
      <c r="V38">
        <f>V37*$A$16</f>
        <v>4391.4000596386422</v>
      </c>
      <c r="W38">
        <f>W37*$A$16</f>
        <v>7430.9555692347194</v>
      </c>
      <c r="X38" t="s">
        <v>377</v>
      </c>
    </row>
    <row r="39" spans="1:56" x14ac:dyDescent="0.25">
      <c r="E39" t="s">
        <v>616</v>
      </c>
      <c r="T39" s="99" t="s">
        <v>492</v>
      </c>
      <c r="U39">
        <f>U16*$A$17</f>
        <v>150.80169463907444</v>
      </c>
      <c r="V39">
        <f>V16*$A$17</f>
        <v>68.686252010987218</v>
      </c>
      <c r="W39">
        <f>W16*$A$17</f>
        <v>150.80169463907444</v>
      </c>
      <c r="X39">
        <f>X16*$A$17</f>
        <v>89.92093928955515</v>
      </c>
      <c r="AE39" s="152" t="s">
        <v>337</v>
      </c>
      <c r="AY39" s="149" t="s">
        <v>311</v>
      </c>
    </row>
    <row r="40" spans="1:56" x14ac:dyDescent="0.25">
      <c r="T40" s="99" t="s">
        <v>493</v>
      </c>
      <c r="U40">
        <f>U19*$A$38</f>
        <v>52.598305360925544</v>
      </c>
      <c r="V40">
        <f>V19*$A$38</f>
        <v>31.363624149409375</v>
      </c>
      <c r="W40">
        <f>W19*$A$38</f>
        <v>52.598305360925544</v>
      </c>
      <c r="X40">
        <f>X19*$A$38</f>
        <v>31.363624149409375</v>
      </c>
      <c r="Z40">
        <f>U36*$A$17</f>
        <v>52.597124136222909</v>
      </c>
      <c r="AA40">
        <f>V36*$A$17</f>
        <v>51.514383906993004</v>
      </c>
      <c r="AB40">
        <f>W36*$A$17</f>
        <v>52.597124136222909</v>
      </c>
      <c r="AC40">
        <f>X36*$A$17</f>
        <v>31.362919801857579</v>
      </c>
      <c r="AE40" s="145">
        <f>AE23-AE3</f>
        <v>151.94929999999999</v>
      </c>
      <c r="AF40" s="145" t="s">
        <v>326</v>
      </c>
      <c r="AY40" s="150" t="s">
        <v>295</v>
      </c>
      <c r="AZ40" s="145">
        <f>AE3</f>
        <v>455</v>
      </c>
      <c r="BA40" s="145">
        <f>BA43*AE9</f>
        <v>363.87287422524412</v>
      </c>
      <c r="BB40" s="145">
        <f>AE3</f>
        <v>455</v>
      </c>
      <c r="BC40" s="145">
        <f>AE3</f>
        <v>455</v>
      </c>
    </row>
    <row r="41" spans="1:56" x14ac:dyDescent="0.25">
      <c r="T41" s="99" t="s">
        <v>494</v>
      </c>
      <c r="U41">
        <f>U22*$A$38</f>
        <v>0</v>
      </c>
      <c r="V41">
        <f>V22*$A$38</f>
        <v>21.234681211516165</v>
      </c>
      <c r="W41">
        <f>W22*$A$38</f>
        <v>0</v>
      </c>
      <c r="X41">
        <f>X22*$A$38</f>
        <v>0</v>
      </c>
      <c r="AE41" s="147">
        <f>AE40/A29</f>
        <v>1877.5166499857903</v>
      </c>
      <c r="AF41" s="147" t="s">
        <v>327</v>
      </c>
      <c r="AY41" s="150" t="s">
        <v>294</v>
      </c>
      <c r="AZ41" s="145">
        <v>0</v>
      </c>
      <c r="BA41" s="145">
        <f>AE46</f>
        <v>9.3190003567019541</v>
      </c>
      <c r="BB41" s="145">
        <v>0</v>
      </c>
      <c r="BC41" s="145">
        <v>0</v>
      </c>
      <c r="BD41" s="145" t="s">
        <v>312</v>
      </c>
    </row>
    <row r="42" spans="1:56" x14ac:dyDescent="0.25">
      <c r="T42" s="99" t="s">
        <v>502</v>
      </c>
      <c r="U42">
        <f>U17*$A$32</f>
        <v>0</v>
      </c>
      <c r="V42">
        <f>V17*$A$32</f>
        <v>0</v>
      </c>
      <c r="W42">
        <f>W17*$A$32</f>
        <v>0</v>
      </c>
      <c r="X42">
        <f>X17*$A$32</f>
        <v>82.115224808779516</v>
      </c>
      <c r="AE42" s="145">
        <f>AE41*A28</f>
        <v>40.096245577096539</v>
      </c>
      <c r="AF42" s="145" t="s">
        <v>328</v>
      </c>
      <c r="AY42" s="150" t="s">
        <v>313</v>
      </c>
      <c r="AZ42" s="145">
        <f>AZ41*ParameterEstimation650MWPlant!$AD$14</f>
        <v>0</v>
      </c>
      <c r="BA42" s="145">
        <f>BA41*AE47*ParameterEstimation650MWPlant!$AD$14</f>
        <v>89.87219446772842</v>
      </c>
      <c r="BB42" s="145">
        <f>BB41*ParameterEstimation650MWPlant!$AD$14</f>
        <v>0</v>
      </c>
      <c r="BC42" s="145">
        <f>BC41*ParameterEstimation650MWPlant!$AD$14</f>
        <v>0</v>
      </c>
    </row>
    <row r="43" spans="1:56" x14ac:dyDescent="0.25">
      <c r="T43" s="99" t="s">
        <v>495</v>
      </c>
      <c r="U43">
        <f>SUM(U39:U42)</f>
        <v>203.39999999999998</v>
      </c>
      <c r="V43">
        <f>SUM(V39:V42)</f>
        <v>121.28455737191275</v>
      </c>
      <c r="W43">
        <f>SUM(W39:W42)</f>
        <v>203.39999999999998</v>
      </c>
      <c r="X43">
        <f>SUM(X39:X42)</f>
        <v>203.39978824774403</v>
      </c>
      <c r="AG43" s="145" t="s">
        <v>329</v>
      </c>
      <c r="AY43" s="150" t="s">
        <v>300</v>
      </c>
      <c r="AZ43" s="145">
        <f>$AE$8-AZ41</f>
        <v>46.53</v>
      </c>
      <c r="BA43" s="145">
        <f>$AE$8-BA41</f>
        <v>37.210999643298045</v>
      </c>
      <c r="BB43" s="145">
        <f>$AE$8-BB41</f>
        <v>46.53</v>
      </c>
      <c r="BC43" s="145">
        <f>$AE$8-BC41</f>
        <v>46.53</v>
      </c>
      <c r="BD43" s="145" t="s">
        <v>312</v>
      </c>
    </row>
    <row r="44" spans="1:56" x14ac:dyDescent="0.25">
      <c r="T44" s="158" t="s">
        <v>617</v>
      </c>
      <c r="AG44" s="145" t="s">
        <v>330</v>
      </c>
      <c r="AY44" s="150" t="s">
        <v>314</v>
      </c>
      <c r="AZ44" s="145">
        <f>AZ43*ParameterEstimation650MWPlant!$AD$14</f>
        <v>112.34024308466051</v>
      </c>
      <c r="BA44" s="145">
        <f>BA43*ParameterEstimation650MWPlant!$AD$14</f>
        <v>89.840806906325341</v>
      </c>
      <c r="BB44" s="145">
        <f>BB43*ParameterEstimation650MWPlant!$AD$14</f>
        <v>112.34024308466051</v>
      </c>
      <c r="BC44" s="145">
        <f>BC43*ParameterEstimation650MWPlant!$AD$14</f>
        <v>112.34024308466051</v>
      </c>
    </row>
    <row r="45" spans="1:56" x14ac:dyDescent="0.25">
      <c r="T45" s="99" t="s">
        <v>618</v>
      </c>
      <c r="U45">
        <f>U36*$A$17</f>
        <v>52.597124136222909</v>
      </c>
      <c r="V45">
        <f>V36*$A$17</f>
        <v>51.514383906993004</v>
      </c>
      <c r="W45">
        <f>W36*$A$17</f>
        <v>52.597124136222909</v>
      </c>
      <c r="X45">
        <f>X36*$A$17</f>
        <v>31.362919801857579</v>
      </c>
      <c r="AE45" s="147">
        <f>AE41*(A9/A8)</f>
        <v>11.756270989616313</v>
      </c>
      <c r="AF45" s="145" t="s">
        <v>331</v>
      </c>
      <c r="AY45" s="150" t="s">
        <v>316</v>
      </c>
      <c r="AZ45" s="145">
        <f>(AZ41+AZ42)/$A$11</f>
        <v>0</v>
      </c>
      <c r="BA45" s="145">
        <f>(BA41+BA42)/$A$11</f>
        <v>4644.6523143112181</v>
      </c>
      <c r="BB45" s="145">
        <f>(BB41+BB42)/$A$11</f>
        <v>0</v>
      </c>
      <c r="BC45" s="145">
        <f>(BC41+BC42)/$A$11</f>
        <v>0</v>
      </c>
    </row>
    <row r="46" spans="1:56" x14ac:dyDescent="0.25">
      <c r="T46" s="99" t="s">
        <v>492</v>
      </c>
      <c r="U46">
        <f>U16*$A$17</f>
        <v>150.80169463907444</v>
      </c>
      <c r="V46">
        <f>V16*$A$17</f>
        <v>68.686252010987218</v>
      </c>
      <c r="W46">
        <f>W16*$A$17</f>
        <v>150.80169463907444</v>
      </c>
      <c r="X46">
        <f>X16*$A$17</f>
        <v>89.92093928955515</v>
      </c>
      <c r="AE46" s="146">
        <f>AE45*AE37</f>
        <v>9.3190003567019541</v>
      </c>
      <c r="AF46" s="145" t="s">
        <v>347</v>
      </c>
      <c r="AY46" s="150" t="s">
        <v>317</v>
      </c>
      <c r="AZ46" s="145">
        <f>(AZ44+AZ43)/$A$11</f>
        <v>7439.1385598735951</v>
      </c>
      <c r="BA46" s="145">
        <f>(BA44+BA43)/$A$11</f>
        <v>5949.2323726176901</v>
      </c>
      <c r="BB46" s="145">
        <f>(BB44+BB43)/$A$11</f>
        <v>7439.1385598735951</v>
      </c>
      <c r="BC46" s="145">
        <f>(BC44+BC43)/$A$11</f>
        <v>7439.1385598735951</v>
      </c>
    </row>
    <row r="47" spans="1:56" x14ac:dyDescent="0.25">
      <c r="T47" s="99" t="s">
        <v>495</v>
      </c>
      <c r="U47">
        <f>U46+U45+U42</f>
        <v>203.39881877529734</v>
      </c>
      <c r="V47">
        <f>V46+V45+V42</f>
        <v>120.20063591798022</v>
      </c>
      <c r="W47">
        <f>W46+W45+W42</f>
        <v>203.39881877529734</v>
      </c>
      <c r="X47">
        <f>X46+X45+X42</f>
        <v>203.39908390019224</v>
      </c>
      <c r="AE47" s="145">
        <f>AE30/AE46</f>
        <v>3.9944198492523486</v>
      </c>
      <c r="AF47" s="145" t="s">
        <v>352</v>
      </c>
      <c r="AY47" s="150" t="s">
        <v>320</v>
      </c>
      <c r="AZ47" s="145">
        <v>0</v>
      </c>
      <c r="BA47" s="145">
        <v>0</v>
      </c>
      <c r="BB47" s="145">
        <v>0</v>
      </c>
      <c r="BC47" s="145">
        <f>BA45</f>
        <v>4644.6523143112181</v>
      </c>
    </row>
    <row r="48" spans="1:56" x14ac:dyDescent="0.25">
      <c r="T48" s="99" t="s">
        <v>619</v>
      </c>
      <c r="U48">
        <f>U47-U43</f>
        <v>-1.1812247026341538E-3</v>
      </c>
      <c r="V48" s="159">
        <f>V47-V43</f>
        <v>-1.0839214539325326</v>
      </c>
      <c r="W48">
        <f>W47-W43</f>
        <v>-1.1812247026341538E-3</v>
      </c>
      <c r="X48">
        <f>X47-X43</f>
        <v>-7.0434755178894193E-4</v>
      </c>
      <c r="AE48" s="146">
        <f>AE47*A15</f>
        <v>39.059953770494495</v>
      </c>
      <c r="AF48" s="145" t="s">
        <v>348</v>
      </c>
      <c r="AY48" s="150" t="s">
        <v>319</v>
      </c>
      <c r="AZ48" s="145">
        <f>AZ46*$A$12</f>
        <v>455.49845402106024</v>
      </c>
      <c r="BA48" s="145">
        <f>BA46*$A$12</f>
        <v>364.27149817538117</v>
      </c>
      <c r="BB48" s="145">
        <f>BB46*$A$12</f>
        <v>455.49845402106024</v>
      </c>
      <c r="BC48" s="145">
        <f>BC46*$A$12</f>
        <v>455.49845402106024</v>
      </c>
    </row>
    <row r="49" spans="14:56" x14ac:dyDescent="0.25">
      <c r="AE49" s="145">
        <f>AE3-(AE48*AE46)</f>
        <v>91.000276879999944</v>
      </c>
      <c r="AF49" s="145" t="s">
        <v>350</v>
      </c>
      <c r="AY49" s="150" t="s">
        <v>318</v>
      </c>
      <c r="AZ49" s="145">
        <f>AZ47*$A$29</f>
        <v>0</v>
      </c>
      <c r="BA49" s="145">
        <f>BA47*$A$29</f>
        <v>0</v>
      </c>
      <c r="BB49" s="145">
        <f>BB47*$A$29</f>
        <v>0</v>
      </c>
      <c r="BC49" s="146">
        <f>BC47*$A$29</f>
        <v>375.89635644952119</v>
      </c>
      <c r="BD49" s="145">
        <f>SUM(BA41:BA42)*AE19</f>
        <v>375.88900043497188</v>
      </c>
    </row>
    <row r="50" spans="14:56" x14ac:dyDescent="0.25">
      <c r="X50">
        <f>SUM(U18:X18)</f>
        <v>1631.3438028571427</v>
      </c>
      <c r="Y50" s="59" t="s">
        <v>276</v>
      </c>
      <c r="AF50" s="145" t="s">
        <v>351</v>
      </c>
      <c r="AZ50" s="145">
        <f>SUM(AZ40:AZ44)</f>
        <v>613.8702430846605</v>
      </c>
      <c r="BA50" s="145">
        <f>SUM(BA40:BA44)</f>
        <v>590.11587559929796</v>
      </c>
      <c r="BB50" s="145">
        <f>SUM(BB40:BB44)</f>
        <v>613.8702430846605</v>
      </c>
      <c r="BC50" s="145">
        <f>SUM(BC40:BC44)</f>
        <v>613.8702430846605</v>
      </c>
    </row>
    <row r="51" spans="14:56" x14ac:dyDescent="0.25">
      <c r="N51" s="99" t="s">
        <v>614</v>
      </c>
      <c r="O51" s="106">
        <f>8/(38+8)</f>
        <v>0.17391304347826086</v>
      </c>
      <c r="T51" s="99" t="s">
        <v>582</v>
      </c>
      <c r="V51">
        <f>U47-V47</f>
        <v>83.198182857317121</v>
      </c>
      <c r="X51">
        <f>X50-X13</f>
        <v>-188.65619714285731</v>
      </c>
      <c r="Y51" s="59" t="s">
        <v>405</v>
      </c>
      <c r="AG51" s="145">
        <f>AE10*AE3</f>
        <v>91</v>
      </c>
      <c r="AY51" s="150" t="s">
        <v>296</v>
      </c>
      <c r="AZ51" s="145">
        <v>0</v>
      </c>
      <c r="BA51" s="145">
        <v>0</v>
      </c>
      <c r="BB51" s="145">
        <v>0</v>
      </c>
      <c r="BC51" s="145">
        <f>SUM(BA41:BA42)*AE19</f>
        <v>375.88900043497188</v>
      </c>
      <c r="BD51" s="153"/>
    </row>
    <row r="52" spans="14:56" x14ac:dyDescent="0.25">
      <c r="T52" s="99" t="s">
        <v>620</v>
      </c>
      <c r="V52" s="159">
        <f>V51*(U16/U39)</f>
        <v>251.02617905376366</v>
      </c>
      <c r="X52" s="133">
        <f>X51/X13</f>
        <v>-0.10365725117739412</v>
      </c>
      <c r="Y52" s="59" t="s">
        <v>406</v>
      </c>
      <c r="AY52" s="150" t="s">
        <v>302</v>
      </c>
      <c r="AZ52" s="145">
        <v>0</v>
      </c>
      <c r="BA52" s="145">
        <v>0</v>
      </c>
      <c r="BB52" s="145">
        <v>0</v>
      </c>
      <c r="BC52" s="145">
        <f>AE30</f>
        <v>37.224000000000004</v>
      </c>
    </row>
    <row r="53" spans="14:56" x14ac:dyDescent="0.25">
      <c r="N53" s="99"/>
      <c r="T53" s="99" t="s">
        <v>621</v>
      </c>
      <c r="V53" s="125">
        <f>V52+V18</f>
        <v>458.26685191090655</v>
      </c>
      <c r="Y53" s="59"/>
      <c r="AE53" s="152" t="s">
        <v>289</v>
      </c>
      <c r="AY53" s="150" t="s">
        <v>303</v>
      </c>
      <c r="AZ53" s="145">
        <v>0</v>
      </c>
      <c r="BA53" s="145">
        <v>0</v>
      </c>
      <c r="BB53" s="145">
        <v>0</v>
      </c>
      <c r="BC53" s="145">
        <f>BC51-BC52</f>
        <v>338.66500043497189</v>
      </c>
    </row>
    <row r="54" spans="14:56" x14ac:dyDescent="0.25">
      <c r="T54" s="99" t="s">
        <v>622</v>
      </c>
      <c r="V54">
        <f>V53-U16</f>
        <v>3.2668519109065528</v>
      </c>
      <c r="W54" s="108">
        <f>V54/U16</f>
        <v>7.179894309684731E-3</v>
      </c>
      <c r="AE54" s="146">
        <f>(AE23-AE3)-AE46</f>
        <v>142.63029964329803</v>
      </c>
      <c r="AF54" s="145" t="s">
        <v>287</v>
      </c>
      <c r="AY54" s="150" t="s">
        <v>297</v>
      </c>
      <c r="AZ54" s="145">
        <f>AZ51-AZ41+AZ40</f>
        <v>455</v>
      </c>
      <c r="BA54" s="145">
        <f>BA51-BA41+BA40</f>
        <v>354.55387386854215</v>
      </c>
      <c r="BB54" s="145">
        <f>BB51-BB41+BB40</f>
        <v>455</v>
      </c>
      <c r="BC54" s="145">
        <f>BC51-BC41+BC40</f>
        <v>830.88900043497188</v>
      </c>
    </row>
    <row r="55" spans="14:56" x14ac:dyDescent="0.25">
      <c r="N55" s="99"/>
      <c r="X55" s="110"/>
      <c r="AE55" s="145">
        <f>AE54/AE46</f>
        <v>15.305321835375022</v>
      </c>
      <c r="AF55" s="145" t="s">
        <v>353</v>
      </c>
      <c r="BC55" s="145">
        <f>SUM(AZ54:BC54)</f>
        <v>2095.4428743035141</v>
      </c>
      <c r="BD55" s="146" t="s">
        <v>305</v>
      </c>
    </row>
    <row r="56" spans="14:56" x14ac:dyDescent="0.25">
      <c r="N56" s="99"/>
      <c r="T56" s="99"/>
    </row>
    <row r="57" spans="14:56" x14ac:dyDescent="0.25">
      <c r="T57" s="99"/>
    </row>
    <row r="58" spans="14:56" x14ac:dyDescent="0.25">
      <c r="N58" s="99"/>
      <c r="T58" s="99"/>
      <c r="V58" s="10"/>
    </row>
    <row r="59" spans="14:56" x14ac:dyDescent="0.25">
      <c r="N59" s="99"/>
      <c r="R59" s="10"/>
      <c r="S59" s="10"/>
      <c r="T59" s="120"/>
      <c r="U59" s="10"/>
      <c r="V59" s="10"/>
      <c r="W59" s="81"/>
    </row>
    <row r="60" spans="14:56" x14ac:dyDescent="0.25">
      <c r="N60" s="99"/>
      <c r="R60" s="10"/>
      <c r="S60" s="10"/>
      <c r="T60" s="120"/>
      <c r="U60" s="10"/>
      <c r="V60" s="10"/>
      <c r="W60" s="10"/>
    </row>
    <row r="61" spans="14:56" x14ac:dyDescent="0.25">
      <c r="N61" s="99"/>
      <c r="R61" s="10"/>
      <c r="S61" s="10"/>
      <c r="T61" s="120"/>
      <c r="U61" s="10"/>
      <c r="V61" s="10"/>
      <c r="W61" s="10"/>
    </row>
    <row r="62" spans="14:56" x14ac:dyDescent="0.25">
      <c r="R62" s="10"/>
      <c r="S62" s="10"/>
      <c r="T62" s="124"/>
      <c r="U62" s="10"/>
      <c r="V62" s="10"/>
      <c r="W62" s="10"/>
      <c r="X62" s="112"/>
    </row>
    <row r="63" spans="14:56" x14ac:dyDescent="0.25">
      <c r="R63" s="10"/>
      <c r="S63" s="10"/>
      <c r="T63" s="10"/>
      <c r="U63" s="10"/>
      <c r="V63" s="10"/>
      <c r="W63" s="10"/>
    </row>
    <row r="64" spans="14:56" x14ac:dyDescent="0.25">
      <c r="R64" s="10"/>
      <c r="S64" s="10"/>
      <c r="T64" s="10"/>
      <c r="U64" s="10"/>
      <c r="V64" s="10"/>
      <c r="W64" s="10"/>
      <c r="X64" s="59"/>
    </row>
    <row r="65" spans="18:25" x14ac:dyDescent="0.25">
      <c r="R65" s="10"/>
      <c r="S65" s="10"/>
      <c r="T65" s="120"/>
      <c r="U65" s="10"/>
      <c r="V65" s="10"/>
      <c r="W65" s="10"/>
      <c r="X65" s="99"/>
    </row>
    <row r="66" spans="18:25" x14ac:dyDescent="0.25">
      <c r="R66" s="10"/>
      <c r="S66" s="10"/>
      <c r="T66" s="120"/>
      <c r="U66" s="10"/>
      <c r="V66" s="10"/>
      <c r="W66" s="10"/>
      <c r="X66" s="99"/>
      <c r="Y66" s="97"/>
    </row>
    <row r="67" spans="18:25" x14ac:dyDescent="0.25">
      <c r="R67" s="10"/>
      <c r="S67" s="10"/>
      <c r="T67" s="120"/>
      <c r="U67" s="10"/>
      <c r="V67" s="10"/>
      <c r="W67" s="10"/>
      <c r="X67" s="99"/>
    </row>
    <row r="68" spans="18:25" x14ac:dyDescent="0.25">
      <c r="R68" s="10"/>
      <c r="S68" s="10"/>
      <c r="T68" s="124"/>
      <c r="U68" s="10"/>
      <c r="V68" s="10"/>
      <c r="W68" s="10"/>
      <c r="X68" s="99"/>
    </row>
    <row r="69" spans="18:25" x14ac:dyDescent="0.25">
      <c r="R69" s="10"/>
      <c r="S69" s="10"/>
      <c r="T69" s="124"/>
      <c r="U69" s="10"/>
      <c r="V69" s="10"/>
      <c r="W69" s="10"/>
      <c r="X69" s="99"/>
    </row>
    <row r="70" spans="18:25" x14ac:dyDescent="0.25">
      <c r="R70" s="10"/>
      <c r="S70" s="10"/>
      <c r="T70" s="120"/>
      <c r="U70" s="10"/>
      <c r="V70" s="10"/>
      <c r="W70" s="10"/>
    </row>
    <row r="71" spans="18:25" x14ac:dyDescent="0.25">
      <c r="R71" s="10"/>
      <c r="S71" s="10"/>
      <c r="T71" s="120"/>
      <c r="U71" s="10"/>
      <c r="V71" s="10"/>
      <c r="W71" s="10"/>
    </row>
    <row r="72" spans="18:25" x14ac:dyDescent="0.25">
      <c r="R72" s="10"/>
      <c r="S72" s="10"/>
      <c r="T72" s="120"/>
      <c r="U72" s="10"/>
      <c r="V72" s="10"/>
      <c r="W72" s="10"/>
    </row>
    <row r="73" spans="18:25" x14ac:dyDescent="0.25">
      <c r="R73" s="10"/>
      <c r="S73" s="10"/>
      <c r="T73" s="120"/>
      <c r="U73" s="10"/>
      <c r="V73" s="10"/>
      <c r="W73" s="10"/>
    </row>
    <row r="74" spans="18:25" x14ac:dyDescent="0.25">
      <c r="R74" s="10"/>
      <c r="S74" s="10"/>
      <c r="T74" s="120"/>
      <c r="U74" s="10"/>
      <c r="V74" s="10"/>
      <c r="W74" s="10"/>
    </row>
    <row r="75" spans="18:25" x14ac:dyDescent="0.25">
      <c r="R75" s="10"/>
      <c r="S75" s="10"/>
      <c r="T75" s="10"/>
      <c r="U75" s="10"/>
      <c r="V75" s="10"/>
      <c r="W75" s="10"/>
    </row>
    <row r="76" spans="18:25" x14ac:dyDescent="0.25">
      <c r="R76" s="10"/>
      <c r="S76" s="10"/>
      <c r="T76" s="120"/>
      <c r="U76" s="160"/>
      <c r="V76" s="10"/>
      <c r="W76" s="10"/>
    </row>
    <row r="77" spans="18:25" x14ac:dyDescent="0.25">
      <c r="R77" s="10"/>
      <c r="S77" s="10"/>
      <c r="T77" s="10"/>
      <c r="U77" s="10"/>
      <c r="V77" s="10"/>
      <c r="W77" s="10"/>
    </row>
    <row r="78" spans="18:25" x14ac:dyDescent="0.25">
      <c r="R78" s="10"/>
      <c r="S78" s="10"/>
      <c r="T78" s="10"/>
      <c r="U78" s="10"/>
      <c r="V78" s="10"/>
      <c r="W78" s="10"/>
    </row>
    <row r="79" spans="18:25" x14ac:dyDescent="0.25">
      <c r="R79" s="10"/>
      <c r="S79" s="10"/>
      <c r="T79" s="10"/>
      <c r="U79" s="10"/>
      <c r="V79" s="10"/>
      <c r="W79" s="10"/>
    </row>
    <row r="80" spans="18:25" x14ac:dyDescent="0.25">
      <c r="R80" s="10"/>
      <c r="S80" s="10"/>
      <c r="T80" s="10"/>
      <c r="U80" s="10"/>
      <c r="V80" s="10"/>
      <c r="W80" s="10"/>
    </row>
    <row r="81" spans="18:23" x14ac:dyDescent="0.25">
      <c r="R81" s="10"/>
      <c r="S81" s="10"/>
      <c r="T81" s="10"/>
      <c r="U81" s="10"/>
      <c r="V81" s="10"/>
      <c r="W81" s="10"/>
    </row>
    <row r="82" spans="18:23" x14ac:dyDescent="0.25">
      <c r="R82" s="10"/>
      <c r="S82" s="10"/>
      <c r="T82" s="10"/>
      <c r="U82" s="10"/>
      <c r="V82" s="10"/>
      <c r="W82" s="1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A8" workbookViewId="0">
      <selection activeCell="P38" sqref="P38"/>
    </sheetView>
  </sheetViews>
  <sheetFormatPr defaultRowHeight="15" x14ac:dyDescent="0.25"/>
  <cols>
    <col min="3" max="3" width="12.28515625" customWidth="1"/>
  </cols>
  <sheetData>
    <row r="1" spans="1:24" x14ac:dyDescent="0.25">
      <c r="A1" t="s">
        <v>409</v>
      </c>
    </row>
    <row r="2" spans="1:24" x14ac:dyDescent="0.25">
      <c r="A2" t="s">
        <v>537</v>
      </c>
    </row>
    <row r="3" spans="1:24" x14ac:dyDescent="0.25">
      <c r="N3" t="s">
        <v>219</v>
      </c>
    </row>
    <row r="4" spans="1:24" x14ac:dyDescent="0.25">
      <c r="A4" s="59" t="s">
        <v>410</v>
      </c>
      <c r="N4" t="s">
        <v>220</v>
      </c>
    </row>
    <row r="5" spans="1:24" x14ac:dyDescent="0.25">
      <c r="A5" t="s">
        <v>411</v>
      </c>
      <c r="N5" t="s">
        <v>257</v>
      </c>
    </row>
    <row r="6" spans="1:24" x14ac:dyDescent="0.25">
      <c r="N6" t="s">
        <v>221</v>
      </c>
    </row>
    <row r="7" spans="1:24" x14ac:dyDescent="0.25">
      <c r="A7" t="s">
        <v>413</v>
      </c>
      <c r="N7" t="s">
        <v>222</v>
      </c>
    </row>
    <row r="9" spans="1:24" x14ac:dyDescent="0.25">
      <c r="A9" t="s">
        <v>417</v>
      </c>
    </row>
    <row r="10" spans="1:24" x14ac:dyDescent="0.25">
      <c r="N10" t="s">
        <v>229</v>
      </c>
      <c r="O10">
        <v>0</v>
      </c>
      <c r="P10">
        <v>1</v>
      </c>
      <c r="Q10">
        <v>2</v>
      </c>
      <c r="R10">
        <v>3</v>
      </c>
    </row>
    <row r="11" spans="1:24" x14ac:dyDescent="0.25">
      <c r="N11" s="7" t="s">
        <v>550</v>
      </c>
    </row>
    <row r="12" spans="1:24" x14ac:dyDescent="0.25">
      <c r="A12" s="59" t="s">
        <v>418</v>
      </c>
      <c r="N12" s="105" t="s">
        <v>438</v>
      </c>
      <c r="O12">
        <f>A19</f>
        <v>455.1</v>
      </c>
      <c r="P12">
        <f>A19-B23*B25*(1+B24)*P16</f>
        <v>207.62310100800002</v>
      </c>
      <c r="Q12">
        <f>A19</f>
        <v>455.1</v>
      </c>
      <c r="R12">
        <f>A19</f>
        <v>455.1</v>
      </c>
      <c r="T12" t="s">
        <v>536</v>
      </c>
    </row>
    <row r="13" spans="1:24" x14ac:dyDescent="0.25">
      <c r="A13" s="97">
        <v>615</v>
      </c>
      <c r="B13" t="s">
        <v>419</v>
      </c>
      <c r="N13" s="105" t="s">
        <v>425</v>
      </c>
      <c r="O13">
        <v>0</v>
      </c>
      <c r="P13">
        <v>0</v>
      </c>
      <c r="Q13">
        <v>0</v>
      </c>
      <c r="R13">
        <f>P16</f>
        <v>4.7</v>
      </c>
      <c r="T13" t="s">
        <v>538</v>
      </c>
    </row>
    <row r="14" spans="1:24" x14ac:dyDescent="0.25">
      <c r="A14">
        <v>8.6999999999999993</v>
      </c>
      <c r="B14" t="s">
        <v>637</v>
      </c>
      <c r="N14" s="105" t="s">
        <v>426</v>
      </c>
      <c r="O14">
        <f>O13*($B$22-1)</f>
        <v>0</v>
      </c>
      <c r="P14">
        <f>P13*($B$22-1)</f>
        <v>0</v>
      </c>
      <c r="Q14">
        <f>Q13*($B$22-1)</f>
        <v>0</v>
      </c>
      <c r="R14">
        <f>R13*($B$22-1)</f>
        <v>56.118000000000002</v>
      </c>
    </row>
    <row r="15" spans="1:24" x14ac:dyDescent="0.25">
      <c r="A15" s="106">
        <v>0.33</v>
      </c>
      <c r="B15" t="s">
        <v>422</v>
      </c>
      <c r="N15" s="105" t="s">
        <v>428</v>
      </c>
      <c r="O15">
        <f>O14+O13</f>
        <v>0</v>
      </c>
      <c r="P15">
        <f>P14+P13</f>
        <v>0</v>
      </c>
      <c r="Q15">
        <f>Q14+Q13</f>
        <v>0</v>
      </c>
      <c r="R15">
        <f>R14+R13</f>
        <v>60.818000000000005</v>
      </c>
      <c r="X15" s="59" t="s">
        <v>539</v>
      </c>
    </row>
    <row r="16" spans="1:24" x14ac:dyDescent="0.25">
      <c r="A16" s="106">
        <v>0.26</v>
      </c>
      <c r="B16" t="s">
        <v>423</v>
      </c>
      <c r="N16" s="105" t="s">
        <v>424</v>
      </c>
      <c r="O16">
        <v>0</v>
      </c>
      <c r="P16">
        <v>4.7</v>
      </c>
      <c r="Q16">
        <v>0</v>
      </c>
      <c r="R16">
        <v>0</v>
      </c>
      <c r="S16" t="s">
        <v>565</v>
      </c>
      <c r="X16" s="97" t="s">
        <v>540</v>
      </c>
    </row>
    <row r="17" spans="1:25" x14ac:dyDescent="0.25">
      <c r="A17">
        <f>A14*(1+A15)</f>
        <v>11.571</v>
      </c>
      <c r="B17" t="s">
        <v>523</v>
      </c>
      <c r="N17" s="105" t="s">
        <v>440</v>
      </c>
      <c r="O17">
        <f>O16</f>
        <v>0</v>
      </c>
      <c r="P17">
        <f>P16</f>
        <v>4.7</v>
      </c>
      <c r="Q17">
        <f>Q16</f>
        <v>0</v>
      </c>
      <c r="R17">
        <f>R16</f>
        <v>0</v>
      </c>
      <c r="Y17" t="s">
        <v>544</v>
      </c>
    </row>
    <row r="18" spans="1:25" x14ac:dyDescent="0.25">
      <c r="A18">
        <f>A14</f>
        <v>8.6999999999999993</v>
      </c>
      <c r="B18" t="s">
        <v>524</v>
      </c>
      <c r="N18" s="105" t="s">
        <v>441</v>
      </c>
      <c r="O18">
        <f>$B$24*$B$25*O16</f>
        <v>0</v>
      </c>
      <c r="P18">
        <f>$B$24*$B$25*P16</f>
        <v>6.5325864000000005</v>
      </c>
      <c r="Q18">
        <f>$B$24*$B$25*Q16</f>
        <v>0</v>
      </c>
      <c r="R18">
        <f>$B$24*$B$25*R16</f>
        <v>0</v>
      </c>
      <c r="Y18" t="s">
        <v>545</v>
      </c>
    </row>
    <row r="19" spans="1:25" x14ac:dyDescent="0.25">
      <c r="A19">
        <f>A13*(1-A16)</f>
        <v>455.1</v>
      </c>
      <c r="B19" t="s">
        <v>421</v>
      </c>
      <c r="N19" s="149" t="s">
        <v>442</v>
      </c>
      <c r="O19" s="145">
        <f>O16*$B$25</f>
        <v>0</v>
      </c>
      <c r="P19" s="145">
        <f>P16*$B$25</f>
        <v>18.771800000000002</v>
      </c>
      <c r="Q19" s="145">
        <f>Q16*$B$25</f>
        <v>0</v>
      </c>
      <c r="R19" s="145">
        <f>R16*$B$25</f>
        <v>0</v>
      </c>
      <c r="X19" t="s">
        <v>543</v>
      </c>
    </row>
    <row r="20" spans="1:25" x14ac:dyDescent="0.25">
      <c r="N20" s="149" t="s">
        <v>443</v>
      </c>
      <c r="O20" s="145">
        <v>0</v>
      </c>
      <c r="P20" s="145">
        <f>B25*B24*P16</f>
        <v>6.5325864000000005</v>
      </c>
      <c r="Q20" s="145">
        <v>0</v>
      </c>
      <c r="R20" s="145">
        <v>0</v>
      </c>
      <c r="Y20" t="s">
        <v>553</v>
      </c>
    </row>
    <row r="21" spans="1:25" x14ac:dyDescent="0.25">
      <c r="A21" s="59" t="s">
        <v>420</v>
      </c>
      <c r="N21" s="7" t="s">
        <v>549</v>
      </c>
      <c r="X21" t="s">
        <v>541</v>
      </c>
    </row>
    <row r="22" spans="1:25" x14ac:dyDescent="0.25">
      <c r="A22" t="s">
        <v>412</v>
      </c>
      <c r="B22">
        <v>12.94</v>
      </c>
      <c r="N22" s="105" t="s">
        <v>547</v>
      </c>
      <c r="O22">
        <f>O12*$A$17</f>
        <v>5265.9620999999997</v>
      </c>
      <c r="P22">
        <f>P12*$A$17</f>
        <v>2402.4069017635684</v>
      </c>
      <c r="Q22">
        <f>Q12*$A$17</f>
        <v>5265.9620999999997</v>
      </c>
      <c r="R22">
        <f>R12*$A$17</f>
        <v>5265.9620999999997</v>
      </c>
      <c r="X22" t="s">
        <v>542</v>
      </c>
    </row>
    <row r="23" spans="1:25" x14ac:dyDescent="0.25">
      <c r="A23" t="s">
        <v>415</v>
      </c>
      <c r="B23">
        <v>9.7799999999999994</v>
      </c>
      <c r="N23" s="105" t="s">
        <v>548</v>
      </c>
      <c r="O23">
        <f>$A$14*O12</f>
        <v>3959.37</v>
      </c>
      <c r="P23">
        <f>$A$14*P12</f>
        <v>1806.3209787696001</v>
      </c>
      <c r="Q23">
        <f>$A$14*Q12</f>
        <v>3959.37</v>
      </c>
      <c r="R23">
        <f>$A$14*R12</f>
        <v>3959.37</v>
      </c>
      <c r="Y23" t="s">
        <v>554</v>
      </c>
    </row>
    <row r="24" spans="1:25" x14ac:dyDescent="0.25">
      <c r="A24" t="s">
        <v>416</v>
      </c>
      <c r="B24">
        <v>0.34799999999999998</v>
      </c>
      <c r="N24" s="105" t="s">
        <v>439</v>
      </c>
      <c r="O24">
        <f>O15*$A$36</f>
        <v>0</v>
      </c>
      <c r="P24">
        <f>P15*$A$36</f>
        <v>0</v>
      </c>
      <c r="Q24">
        <f>Q15*$A$36</f>
        <v>0</v>
      </c>
      <c r="R24">
        <f>R15*$A$36</f>
        <v>546.57744779999996</v>
      </c>
    </row>
    <row r="25" spans="1:25" x14ac:dyDescent="0.25">
      <c r="A25" t="s">
        <v>414</v>
      </c>
      <c r="B25">
        <v>3.9940000000000002</v>
      </c>
      <c r="N25" s="105" t="s">
        <v>546</v>
      </c>
      <c r="O25">
        <f>O17*$A$18</f>
        <v>0</v>
      </c>
      <c r="P25">
        <f>P17*$A$18*$B$25*(1+$B$24)*(1+A37)</f>
        <v>751.26064253598349</v>
      </c>
      <c r="Q25">
        <f>Q17*$A$18</f>
        <v>0</v>
      </c>
      <c r="R25">
        <f>R17*$A$18</f>
        <v>0</v>
      </c>
      <c r="S25" t="s">
        <v>552</v>
      </c>
    </row>
    <row r="26" spans="1:25" x14ac:dyDescent="0.25">
      <c r="M26" s="145"/>
      <c r="N26" s="149" t="s">
        <v>444</v>
      </c>
      <c r="O26" s="145">
        <f>O18*$A$18</f>
        <v>0</v>
      </c>
      <c r="P26" s="145">
        <f>P18*$A$18</f>
        <v>56.833501679999998</v>
      </c>
      <c r="Q26" s="145">
        <f>Q18*$A$18</f>
        <v>0</v>
      </c>
      <c r="R26" s="145">
        <f>R18*$A$18</f>
        <v>0</v>
      </c>
      <c r="S26" t="s">
        <v>551</v>
      </c>
    </row>
    <row r="27" spans="1:25" x14ac:dyDescent="0.25">
      <c r="A27" s="59" t="s">
        <v>429</v>
      </c>
      <c r="N27" s="149" t="s">
        <v>535</v>
      </c>
      <c r="O27" s="145">
        <f>SUM(O23:O25)+O26</f>
        <v>3959.37</v>
      </c>
      <c r="P27" s="145">
        <f>SUM(P23:P25)+P26</f>
        <v>2614.4151229855838</v>
      </c>
      <c r="Q27" s="145">
        <f>SUM(Q23:Q25)+Q26</f>
        <v>3959.37</v>
      </c>
      <c r="R27" s="145">
        <f>SUM(R23:R25)+R26</f>
        <v>4505.9474478000002</v>
      </c>
      <c r="S27" t="s">
        <v>555</v>
      </c>
    </row>
    <row r="28" spans="1:25" x14ac:dyDescent="0.25">
      <c r="A28">
        <f>A35*A33/A34*A31</f>
        <v>6.3508264483312731</v>
      </c>
      <c r="B28" t="s">
        <v>430</v>
      </c>
      <c r="N28" s="105" t="s">
        <v>534</v>
      </c>
      <c r="O28">
        <f>O22+O24+O25</f>
        <v>5265.9620999999997</v>
      </c>
      <c r="P28">
        <f>P22+P24+P25</f>
        <v>3153.667544299552</v>
      </c>
      <c r="Q28">
        <f>Q22+Q24+Q25</f>
        <v>5265.9620999999997</v>
      </c>
      <c r="R28">
        <f>R22+R24+R25</f>
        <v>5812.5395478</v>
      </c>
    </row>
    <row r="29" spans="1:25" x14ac:dyDescent="0.25">
      <c r="A29" s="106">
        <v>0.9</v>
      </c>
      <c r="B29" t="s">
        <v>432</v>
      </c>
      <c r="N29" s="105" t="s">
        <v>556</v>
      </c>
      <c r="O29">
        <f>O22/$A$44</f>
        <v>201.29824541284404</v>
      </c>
      <c r="P29">
        <f>P22/$A$44</f>
        <v>91.835126214203683</v>
      </c>
      <c r="Q29">
        <f>Q22/$A$44</f>
        <v>201.29824541284404</v>
      </c>
      <c r="R29">
        <f>R22/$A$44</f>
        <v>201.29824541284404</v>
      </c>
    </row>
    <row r="30" spans="1:25" x14ac:dyDescent="0.25">
      <c r="A30" s="108">
        <f>(A29*A15+(A16-A15))/A16</f>
        <v>0.87307692307692319</v>
      </c>
      <c r="B30" t="s">
        <v>433</v>
      </c>
      <c r="N30" s="105" t="s">
        <v>557</v>
      </c>
      <c r="O30">
        <f t="shared" ref="O30:R31" si="0">O24/$A$44</f>
        <v>0</v>
      </c>
      <c r="P30">
        <f t="shared" si="0"/>
        <v>0</v>
      </c>
      <c r="Q30">
        <f t="shared" si="0"/>
        <v>0</v>
      </c>
      <c r="R30">
        <f t="shared" si="0"/>
        <v>20.893633325688072</v>
      </c>
      <c r="S30">
        <f>SUM(R29:R30)</f>
        <v>222.19187873853213</v>
      </c>
    </row>
    <row r="31" spans="1:25" x14ac:dyDescent="0.25">
      <c r="A31" s="106">
        <v>0.58789999999999998</v>
      </c>
      <c r="B31" t="s">
        <v>431</v>
      </c>
      <c r="N31" s="105" t="s">
        <v>558</v>
      </c>
      <c r="O31">
        <f t="shared" si="0"/>
        <v>0</v>
      </c>
      <c r="P31">
        <f t="shared" si="0"/>
        <v>28.71791447002995</v>
      </c>
      <c r="Q31">
        <f t="shared" si="0"/>
        <v>0</v>
      </c>
      <c r="R31">
        <f t="shared" si="0"/>
        <v>0</v>
      </c>
    </row>
    <row r="32" spans="1:25" x14ac:dyDescent="0.25">
      <c r="A32">
        <f>A30*(A13-A19)+A19</f>
        <v>594.70500000000004</v>
      </c>
      <c r="B32" t="s">
        <v>434</v>
      </c>
      <c r="N32" s="149" t="s">
        <v>532</v>
      </c>
      <c r="O32" s="145">
        <f>O27/$A$44</f>
        <v>151.35206422018348</v>
      </c>
      <c r="P32" s="145">
        <f>P27/$A$44</f>
        <v>99.939416016268495</v>
      </c>
      <c r="Q32" s="145">
        <f>Q27/$A$44</f>
        <v>151.35206422018348</v>
      </c>
      <c r="R32" s="145">
        <f>R27/$A$44</f>
        <v>172.24569754587156</v>
      </c>
    </row>
    <row r="33" spans="1:22" x14ac:dyDescent="0.25">
      <c r="A33">
        <f>A32-A19</f>
        <v>139.60500000000002</v>
      </c>
      <c r="B33" t="s">
        <v>435</v>
      </c>
      <c r="N33" s="105" t="s">
        <v>533</v>
      </c>
      <c r="O33">
        <f>SUM(O29:O31)</f>
        <v>201.29824541284404</v>
      </c>
      <c r="P33">
        <f>SUM(P29:P31)</f>
        <v>120.55304068423364</v>
      </c>
      <c r="Q33">
        <f>SUM(Q29:Q31)</f>
        <v>201.29824541284404</v>
      </c>
      <c r="R33">
        <f>SUM(R29:R31)</f>
        <v>222.19187873853213</v>
      </c>
    </row>
    <row r="34" spans="1:22" x14ac:dyDescent="0.25">
      <c r="A34">
        <v>8.09E-2</v>
      </c>
      <c r="B34" t="s">
        <v>436</v>
      </c>
      <c r="N34" s="105" t="s">
        <v>427</v>
      </c>
      <c r="O34">
        <f>O15+O12</f>
        <v>455.1</v>
      </c>
      <c r="P34">
        <f>P15+P12</f>
        <v>207.62310100800002</v>
      </c>
      <c r="Q34">
        <f>Q15+Q12</f>
        <v>455.1</v>
      </c>
      <c r="R34">
        <f>R15+R12</f>
        <v>515.91800000000001</v>
      </c>
      <c r="T34" s="155"/>
    </row>
    <row r="35" spans="1:22" x14ac:dyDescent="0.25">
      <c r="A35">
        <v>6.2599999999999999E-3</v>
      </c>
      <c r="B35" t="s">
        <v>437</v>
      </c>
      <c r="P35">
        <f>P33/O33</f>
        <v>0.59887775194955384</v>
      </c>
      <c r="T35" s="155"/>
    </row>
    <row r="36" spans="1:22" x14ac:dyDescent="0.25">
      <c r="A36">
        <f>A14*(1+A15*(1-A29))</f>
        <v>8.9870999999999981</v>
      </c>
      <c r="B36" t="s">
        <v>525</v>
      </c>
      <c r="N36" s="99"/>
    </row>
    <row r="37" spans="1:22" x14ac:dyDescent="0.25">
      <c r="A37">
        <f>ParameterEstimation650MWPlant!AD16</f>
        <v>2.412522897320355</v>
      </c>
      <c r="B37" t="s">
        <v>566</v>
      </c>
      <c r="N37" s="99" t="s">
        <v>560</v>
      </c>
    </row>
    <row r="38" spans="1:22" x14ac:dyDescent="0.25">
      <c r="N38" s="99" t="s">
        <v>559</v>
      </c>
      <c r="O38">
        <v>203.39999999999998</v>
      </c>
      <c r="P38">
        <v>100.04987616039659</v>
      </c>
      <c r="Q38">
        <v>203.39999999999998</v>
      </c>
      <c r="R38">
        <v>121.28456343896453</v>
      </c>
      <c r="U38" t="s">
        <v>561</v>
      </c>
    </row>
    <row r="39" spans="1:22" x14ac:dyDescent="0.25">
      <c r="A39" s="59" t="s">
        <v>526</v>
      </c>
      <c r="N39" s="99" t="s">
        <v>502</v>
      </c>
      <c r="O39">
        <v>0</v>
      </c>
      <c r="P39">
        <v>0</v>
      </c>
      <c r="Q39">
        <v>0</v>
      </c>
      <c r="R39">
        <v>82.115224808779516</v>
      </c>
      <c r="S39">
        <f>SUM(R38:R39)</f>
        <v>203.39978824774403</v>
      </c>
      <c r="U39" t="s">
        <v>562</v>
      </c>
    </row>
    <row r="40" spans="1:22" x14ac:dyDescent="0.25">
      <c r="A40" t="s">
        <v>528</v>
      </c>
      <c r="N40" s="99" t="s">
        <v>494</v>
      </c>
      <c r="O40">
        <v>0</v>
      </c>
      <c r="P40">
        <v>21.234681211516165</v>
      </c>
      <c r="Q40">
        <v>0</v>
      </c>
      <c r="R40">
        <v>0</v>
      </c>
      <c r="U40" t="s">
        <v>567</v>
      </c>
    </row>
    <row r="41" spans="1:22" x14ac:dyDescent="0.25">
      <c r="A41" t="s">
        <v>529</v>
      </c>
      <c r="N41" s="99" t="s">
        <v>495</v>
      </c>
      <c r="O41">
        <v>203.39999999999998</v>
      </c>
      <c r="P41">
        <v>121.28455737191275</v>
      </c>
      <c r="Q41">
        <v>203.39999999999998</v>
      </c>
      <c r="R41">
        <v>203.39978824774403</v>
      </c>
      <c r="V41" t="s">
        <v>568</v>
      </c>
    </row>
    <row r="42" spans="1:22" x14ac:dyDescent="0.25">
      <c r="A42" t="s">
        <v>527</v>
      </c>
      <c r="P42">
        <f>P41/O41</f>
        <v>0.59628592611559861</v>
      </c>
      <c r="U42" t="s">
        <v>569</v>
      </c>
    </row>
    <row r="43" spans="1:22" x14ac:dyDescent="0.25">
      <c r="A43">
        <v>13080</v>
      </c>
      <c r="B43" t="s">
        <v>531</v>
      </c>
    </row>
    <row r="44" spans="1:22" x14ac:dyDescent="0.25">
      <c r="A44">
        <f>A43*2000/1000000</f>
        <v>26.16</v>
      </c>
      <c r="B44" t="s">
        <v>530</v>
      </c>
    </row>
    <row r="48" spans="1:22" x14ac:dyDescent="0.25">
      <c r="F48">
        <v>0.33</v>
      </c>
      <c r="G48" t="s">
        <v>563</v>
      </c>
    </row>
    <row r="49" spans="6:7" x14ac:dyDescent="0.25">
      <c r="F49">
        <f>A44*F48</f>
        <v>8.6327999999999996</v>
      </c>
      <c r="G49" t="s">
        <v>564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A8" workbookViewId="0">
      <selection activeCell="P34" sqref="P34"/>
    </sheetView>
  </sheetViews>
  <sheetFormatPr defaultRowHeight="15" x14ac:dyDescent="0.25"/>
  <cols>
    <col min="3" max="3" width="12.28515625" customWidth="1"/>
  </cols>
  <sheetData>
    <row r="1" spans="1:24" x14ac:dyDescent="0.25">
      <c r="A1" t="s">
        <v>409</v>
      </c>
    </row>
    <row r="2" spans="1:24" x14ac:dyDescent="0.25">
      <c r="A2" t="s">
        <v>656</v>
      </c>
    </row>
    <row r="3" spans="1:24" x14ac:dyDescent="0.25">
      <c r="N3" t="s">
        <v>219</v>
      </c>
    </row>
    <row r="4" spans="1:24" x14ac:dyDescent="0.25">
      <c r="A4" s="59" t="s">
        <v>410</v>
      </c>
      <c r="N4" t="s">
        <v>220</v>
      </c>
    </row>
    <row r="5" spans="1:24" x14ac:dyDescent="0.25">
      <c r="A5" t="s">
        <v>411</v>
      </c>
      <c r="N5" t="s">
        <v>257</v>
      </c>
    </row>
    <row r="6" spans="1:24" x14ac:dyDescent="0.25">
      <c r="N6" t="s">
        <v>221</v>
      </c>
    </row>
    <row r="7" spans="1:24" x14ac:dyDescent="0.25">
      <c r="A7" t="s">
        <v>413</v>
      </c>
      <c r="N7" t="s">
        <v>222</v>
      </c>
    </row>
    <row r="9" spans="1:24" x14ac:dyDescent="0.25">
      <c r="A9" t="s">
        <v>417</v>
      </c>
    </row>
    <row r="10" spans="1:24" x14ac:dyDescent="0.25">
      <c r="N10" t="s">
        <v>229</v>
      </c>
      <c r="O10">
        <v>0</v>
      </c>
      <c r="P10">
        <v>1</v>
      </c>
      <c r="Q10">
        <v>2</v>
      </c>
      <c r="R10">
        <v>3</v>
      </c>
    </row>
    <row r="11" spans="1:24" x14ac:dyDescent="0.25">
      <c r="N11" s="7" t="s">
        <v>550</v>
      </c>
    </row>
    <row r="12" spans="1:24" x14ac:dyDescent="0.25">
      <c r="A12" s="59" t="s">
        <v>418</v>
      </c>
      <c r="N12" s="105" t="s">
        <v>438</v>
      </c>
      <c r="O12">
        <f>A19</f>
        <v>455.1</v>
      </c>
      <c r="P12">
        <f>A19</f>
        <v>455.1</v>
      </c>
      <c r="Q12">
        <f>A19</f>
        <v>455.1</v>
      </c>
      <c r="R12">
        <f>A19</f>
        <v>455.1</v>
      </c>
      <c r="T12" t="s">
        <v>536</v>
      </c>
    </row>
    <row r="13" spans="1:24" x14ac:dyDescent="0.25">
      <c r="A13" s="97">
        <v>615</v>
      </c>
      <c r="B13" t="s">
        <v>419</v>
      </c>
      <c r="N13" s="105" t="s">
        <v>425</v>
      </c>
      <c r="O13">
        <v>0</v>
      </c>
      <c r="P13">
        <v>0</v>
      </c>
      <c r="Q13">
        <v>0</v>
      </c>
      <c r="R13">
        <f>P16</f>
        <v>4.7</v>
      </c>
      <c r="T13" t="s">
        <v>538</v>
      </c>
    </row>
    <row r="14" spans="1:24" x14ac:dyDescent="0.25">
      <c r="A14">
        <v>8.6999999999999993</v>
      </c>
      <c r="B14" t="s">
        <v>637</v>
      </c>
      <c r="N14" s="105" t="s">
        <v>426</v>
      </c>
      <c r="O14">
        <f>O13*($B$22-1)</f>
        <v>0</v>
      </c>
      <c r="P14">
        <f>P13*($B$22-1)</f>
        <v>0</v>
      </c>
      <c r="Q14">
        <f>Q13*($B$22-1)</f>
        <v>0</v>
      </c>
      <c r="R14">
        <f>R13*($B$22-1)</f>
        <v>56.118000000000002</v>
      </c>
    </row>
    <row r="15" spans="1:24" x14ac:dyDescent="0.25">
      <c r="A15" s="106">
        <v>0.33</v>
      </c>
      <c r="B15" t="s">
        <v>422</v>
      </c>
      <c r="N15" s="105" t="s">
        <v>428</v>
      </c>
      <c r="O15">
        <f>O14+O13</f>
        <v>0</v>
      </c>
      <c r="P15">
        <f>P14+P13</f>
        <v>0</v>
      </c>
      <c r="Q15">
        <f>Q14+Q13</f>
        <v>0</v>
      </c>
      <c r="R15">
        <f>R14+R13</f>
        <v>60.818000000000005</v>
      </c>
      <c r="X15" s="59" t="s">
        <v>539</v>
      </c>
    </row>
    <row r="16" spans="1:24" x14ac:dyDescent="0.25">
      <c r="A16" s="106">
        <v>0.26</v>
      </c>
      <c r="B16" t="s">
        <v>423</v>
      </c>
      <c r="N16" s="105" t="s">
        <v>424</v>
      </c>
      <c r="O16">
        <v>0</v>
      </c>
      <c r="P16">
        <v>4.7</v>
      </c>
      <c r="Q16">
        <v>0</v>
      </c>
      <c r="R16">
        <v>0</v>
      </c>
      <c r="S16" t="s">
        <v>565</v>
      </c>
      <c r="X16" s="97" t="s">
        <v>540</v>
      </c>
    </row>
    <row r="17" spans="1:25" x14ac:dyDescent="0.25">
      <c r="A17">
        <f>A14*(1+A15)</f>
        <v>11.571</v>
      </c>
      <c r="B17" t="s">
        <v>523</v>
      </c>
      <c r="N17" s="105" t="s">
        <v>440</v>
      </c>
      <c r="O17">
        <f>O16</f>
        <v>0</v>
      </c>
      <c r="P17">
        <f>P16</f>
        <v>4.7</v>
      </c>
      <c r="Q17">
        <f>Q16</f>
        <v>0</v>
      </c>
      <c r="R17">
        <f>R16</f>
        <v>0</v>
      </c>
      <c r="Y17" t="s">
        <v>544</v>
      </c>
    </row>
    <row r="18" spans="1:25" x14ac:dyDescent="0.25">
      <c r="A18">
        <f>A14</f>
        <v>8.6999999999999993</v>
      </c>
      <c r="B18" t="s">
        <v>524</v>
      </c>
      <c r="N18" s="105" t="s">
        <v>641</v>
      </c>
      <c r="Y18" t="s">
        <v>545</v>
      </c>
    </row>
    <row r="19" spans="1:25" x14ac:dyDescent="0.25">
      <c r="A19">
        <f>A13*(1-A16)</f>
        <v>455.1</v>
      </c>
      <c r="B19" t="s">
        <v>421</v>
      </c>
      <c r="N19" s="105" t="s">
        <v>441</v>
      </c>
      <c r="O19">
        <f>$B$24*$B$25*O16</f>
        <v>0</v>
      </c>
      <c r="P19">
        <f>$B$24*$B$25*P16</f>
        <v>6.5325864000000005</v>
      </c>
      <c r="Q19">
        <f>$B$24*$B$25*Q16</f>
        <v>0</v>
      </c>
      <c r="R19">
        <f>$B$24*$B$25*R16</f>
        <v>0</v>
      </c>
      <c r="X19" t="s">
        <v>543</v>
      </c>
    </row>
    <row r="20" spans="1:25" x14ac:dyDescent="0.25">
      <c r="N20" s="119"/>
      <c r="O20" s="10"/>
      <c r="P20" s="10"/>
      <c r="Q20" s="10"/>
      <c r="R20" s="10"/>
      <c r="Y20" t="s">
        <v>553</v>
      </c>
    </row>
    <row r="21" spans="1:25" x14ac:dyDescent="0.25">
      <c r="A21" s="59" t="s">
        <v>420</v>
      </c>
      <c r="N21" s="7" t="s">
        <v>549</v>
      </c>
      <c r="X21" t="s">
        <v>541</v>
      </c>
    </row>
    <row r="22" spans="1:25" x14ac:dyDescent="0.25">
      <c r="A22" t="s">
        <v>412</v>
      </c>
      <c r="B22">
        <v>12.94</v>
      </c>
      <c r="N22" s="105" t="s">
        <v>547</v>
      </c>
      <c r="O22">
        <f>O12*$A$17</f>
        <v>5265.9620999999997</v>
      </c>
      <c r="P22">
        <f>P12*$A$17</f>
        <v>5265.9620999999997</v>
      </c>
      <c r="Q22">
        <f>Q12*$A$17</f>
        <v>5265.9620999999997</v>
      </c>
      <c r="R22">
        <f>R12*$A$17</f>
        <v>5265.9620999999997</v>
      </c>
      <c r="X22" t="s">
        <v>542</v>
      </c>
    </row>
    <row r="23" spans="1:25" x14ac:dyDescent="0.25">
      <c r="A23" t="s">
        <v>415</v>
      </c>
      <c r="B23">
        <v>9.7799999999999994</v>
      </c>
      <c r="N23" s="105" t="s">
        <v>548</v>
      </c>
      <c r="O23">
        <f>$A$14*O12</f>
        <v>3959.37</v>
      </c>
      <c r="P23">
        <f>$A$14*P12</f>
        <v>3959.37</v>
      </c>
      <c r="Q23">
        <f>$A$14*Q12</f>
        <v>3959.37</v>
      </c>
      <c r="R23">
        <f>$A$14*R12</f>
        <v>3959.37</v>
      </c>
      <c r="Y23" t="s">
        <v>554</v>
      </c>
    </row>
    <row r="24" spans="1:25" x14ac:dyDescent="0.25">
      <c r="A24" t="s">
        <v>416</v>
      </c>
      <c r="B24">
        <v>0.34799999999999998</v>
      </c>
      <c r="N24" s="105" t="s">
        <v>439</v>
      </c>
      <c r="O24">
        <f>O15*$A$36</f>
        <v>0</v>
      </c>
      <c r="P24">
        <f>P15*$A$36</f>
        <v>0</v>
      </c>
      <c r="Q24">
        <f>Q15*$A$36</f>
        <v>0</v>
      </c>
      <c r="R24">
        <f>R15*$A$36</f>
        <v>546.57744779999996</v>
      </c>
    </row>
    <row r="25" spans="1:25" x14ac:dyDescent="0.25">
      <c r="A25" t="s">
        <v>414</v>
      </c>
      <c r="B25">
        <v>3.9940000000000002</v>
      </c>
      <c r="N25" s="105" t="s">
        <v>546</v>
      </c>
      <c r="O25">
        <f>O17*$A$18</f>
        <v>0</v>
      </c>
      <c r="P25">
        <f>P17*$A$18*$B$25*(1+$B$24)*(1+A37)</f>
        <v>751.26064253598349</v>
      </c>
      <c r="Q25">
        <f>Q17*$A$18</f>
        <v>0</v>
      </c>
      <c r="R25">
        <f>R17*$A$18</f>
        <v>0</v>
      </c>
      <c r="S25" t="s">
        <v>552</v>
      </c>
    </row>
    <row r="26" spans="1:25" x14ac:dyDescent="0.25">
      <c r="M26" s="145"/>
      <c r="N26" s="149" t="s">
        <v>444</v>
      </c>
      <c r="O26" s="145">
        <f>O19*$A$18</f>
        <v>0</v>
      </c>
      <c r="P26" s="145">
        <f>P19*$A$18</f>
        <v>56.833501679999998</v>
      </c>
      <c r="Q26" s="145">
        <f>Q19*$A$18</f>
        <v>0</v>
      </c>
      <c r="R26" s="145">
        <f>R19*$A$18</f>
        <v>0</v>
      </c>
      <c r="S26" t="s">
        <v>551</v>
      </c>
    </row>
    <row r="27" spans="1:25" x14ac:dyDescent="0.25">
      <c r="A27" s="59" t="s">
        <v>429</v>
      </c>
      <c r="N27" s="149" t="s">
        <v>535</v>
      </c>
      <c r="O27" s="145">
        <f>SUM(O23:O25)+O26</f>
        <v>3959.37</v>
      </c>
      <c r="P27" s="145">
        <f>SUM(P23:P25)+P26</f>
        <v>4767.4641442159837</v>
      </c>
      <c r="Q27" s="145">
        <f>SUM(Q23:Q25)+Q26</f>
        <v>3959.37</v>
      </c>
      <c r="R27" s="145">
        <f>SUM(R23:R25)+R26</f>
        <v>4505.9474478000002</v>
      </c>
      <c r="S27" t="s">
        <v>555</v>
      </c>
    </row>
    <row r="28" spans="1:25" x14ac:dyDescent="0.25">
      <c r="A28">
        <f>A35*A33/A34*A31</f>
        <v>6.3508264483312731</v>
      </c>
      <c r="B28" t="s">
        <v>430</v>
      </c>
      <c r="N28" s="105" t="s">
        <v>534</v>
      </c>
      <c r="O28">
        <f>O22+O24+O25</f>
        <v>5265.9620999999997</v>
      </c>
      <c r="P28">
        <f>P22+P24+P25</f>
        <v>6017.2227425359833</v>
      </c>
      <c r="Q28">
        <f>Q22+Q24+Q25</f>
        <v>5265.9620999999997</v>
      </c>
      <c r="R28">
        <f>R22+R24+R25</f>
        <v>5812.5395478</v>
      </c>
    </row>
    <row r="29" spans="1:25" x14ac:dyDescent="0.25">
      <c r="A29" s="106">
        <v>0.9</v>
      </c>
      <c r="B29" t="s">
        <v>432</v>
      </c>
      <c r="N29" s="105" t="s">
        <v>556</v>
      </c>
      <c r="O29">
        <f>O22/$A$44</f>
        <v>201.29824541284404</v>
      </c>
      <c r="P29">
        <f>P22/$A$44</f>
        <v>201.29824541284404</v>
      </c>
      <c r="Q29">
        <f>Q22/$A$44</f>
        <v>201.29824541284404</v>
      </c>
      <c r="R29">
        <f>R22/$A$44</f>
        <v>201.29824541284404</v>
      </c>
    </row>
    <row r="30" spans="1:25" x14ac:dyDescent="0.25">
      <c r="A30" s="108">
        <f>(A29*A15+(A16-A15))/A16</f>
        <v>0.87307692307692319</v>
      </c>
      <c r="B30" t="s">
        <v>433</v>
      </c>
      <c r="N30" s="105" t="s">
        <v>557</v>
      </c>
      <c r="O30">
        <f t="shared" ref="O30:R31" si="0">O24/$A$44</f>
        <v>0</v>
      </c>
      <c r="P30">
        <f t="shared" si="0"/>
        <v>0</v>
      </c>
      <c r="Q30">
        <f t="shared" si="0"/>
        <v>0</v>
      </c>
      <c r="R30">
        <f t="shared" si="0"/>
        <v>20.893633325688072</v>
      </c>
      <c r="S30">
        <f>SUM(R29:R30)</f>
        <v>222.19187873853213</v>
      </c>
    </row>
    <row r="31" spans="1:25" x14ac:dyDescent="0.25">
      <c r="A31" s="106">
        <v>0.58789999999999998</v>
      </c>
      <c r="B31" t="s">
        <v>431</v>
      </c>
      <c r="N31" s="105" t="s">
        <v>558</v>
      </c>
      <c r="O31">
        <f t="shared" si="0"/>
        <v>0</v>
      </c>
      <c r="P31">
        <f t="shared" si="0"/>
        <v>28.71791447002995</v>
      </c>
      <c r="Q31">
        <f t="shared" si="0"/>
        <v>0</v>
      </c>
      <c r="R31">
        <f t="shared" si="0"/>
        <v>0</v>
      </c>
    </row>
    <row r="32" spans="1:25" x14ac:dyDescent="0.25">
      <c r="A32">
        <f>A30*(A13-A19)+A19</f>
        <v>594.70500000000004</v>
      </c>
      <c r="B32" t="s">
        <v>434</v>
      </c>
      <c r="N32" s="149" t="s">
        <v>532</v>
      </c>
      <c r="O32" s="145">
        <f>O27/$A$44</f>
        <v>151.35206422018348</v>
      </c>
      <c r="P32" s="145">
        <f>P27/$A$44</f>
        <v>182.24251315810335</v>
      </c>
      <c r="Q32" s="145">
        <f>Q27/$A$44</f>
        <v>151.35206422018348</v>
      </c>
      <c r="R32" s="145">
        <f>R27/$A$44</f>
        <v>172.24569754587156</v>
      </c>
    </row>
    <row r="33" spans="1:22" x14ac:dyDescent="0.25">
      <c r="A33">
        <f>A32-A19</f>
        <v>139.60500000000002</v>
      </c>
      <c r="B33" t="s">
        <v>435</v>
      </c>
      <c r="N33" s="105" t="s">
        <v>533</v>
      </c>
      <c r="O33">
        <f>SUM(O29:O31)</f>
        <v>201.29824541284404</v>
      </c>
      <c r="P33">
        <f>SUM(P29:P31)</f>
        <v>230.01615988287398</v>
      </c>
      <c r="Q33">
        <f>SUM(Q29:Q31)</f>
        <v>201.29824541284404</v>
      </c>
      <c r="R33">
        <f>SUM(R29:R31)</f>
        <v>222.19187873853213</v>
      </c>
    </row>
    <row r="34" spans="1:22" x14ac:dyDescent="0.25">
      <c r="A34">
        <v>8.09E-2</v>
      </c>
      <c r="B34" t="s">
        <v>436</v>
      </c>
      <c r="N34" s="105" t="s">
        <v>427</v>
      </c>
      <c r="O34">
        <f>O15+O12</f>
        <v>455.1</v>
      </c>
      <c r="P34">
        <f>P15+P12</f>
        <v>455.1</v>
      </c>
      <c r="Q34">
        <f>Q15+Q12</f>
        <v>455.1</v>
      </c>
      <c r="R34">
        <f>R15+R12</f>
        <v>515.91800000000001</v>
      </c>
      <c r="T34" s="155"/>
    </row>
    <row r="35" spans="1:22" x14ac:dyDescent="0.25">
      <c r="A35">
        <v>6.2599999999999999E-3</v>
      </c>
      <c r="B35" t="s">
        <v>437</v>
      </c>
      <c r="P35">
        <f>P33/O33</f>
        <v>1.1426635111057832</v>
      </c>
      <c r="T35" s="155"/>
    </row>
    <row r="36" spans="1:22" x14ac:dyDescent="0.25">
      <c r="A36">
        <f>A14*(1+A15*(1-A29))</f>
        <v>8.9870999999999981</v>
      </c>
      <c r="B36" t="s">
        <v>525</v>
      </c>
      <c r="N36" s="99"/>
    </row>
    <row r="37" spans="1:22" x14ac:dyDescent="0.25">
      <c r="A37">
        <f>ParameterEstimation650MWPlant!AD16</f>
        <v>2.412522897320355</v>
      </c>
      <c r="B37" t="s">
        <v>566</v>
      </c>
      <c r="N37" s="99" t="s">
        <v>560</v>
      </c>
    </row>
    <row r="38" spans="1:22" x14ac:dyDescent="0.25">
      <c r="N38" s="99" t="s">
        <v>559</v>
      </c>
      <c r="O38">
        <v>203.39999999999998</v>
      </c>
      <c r="P38">
        <v>100.04987616039659</v>
      </c>
      <c r="Q38">
        <v>203.39999999999998</v>
      </c>
      <c r="R38">
        <v>121.28456343896453</v>
      </c>
      <c r="U38" t="s">
        <v>561</v>
      </c>
    </row>
    <row r="39" spans="1:22" x14ac:dyDescent="0.25">
      <c r="A39" s="59" t="s">
        <v>526</v>
      </c>
      <c r="N39" s="99" t="s">
        <v>502</v>
      </c>
      <c r="O39">
        <v>0</v>
      </c>
      <c r="P39">
        <v>0</v>
      </c>
      <c r="Q39">
        <v>0</v>
      </c>
      <c r="R39">
        <v>82.115224808779516</v>
      </c>
      <c r="S39">
        <f>SUM(R38:R39)</f>
        <v>203.39978824774403</v>
      </c>
      <c r="U39" t="s">
        <v>562</v>
      </c>
    </row>
    <row r="40" spans="1:22" x14ac:dyDescent="0.25">
      <c r="A40" t="s">
        <v>528</v>
      </c>
      <c r="N40" s="99" t="s">
        <v>494</v>
      </c>
      <c r="O40">
        <v>0</v>
      </c>
      <c r="P40">
        <v>21.234681211516165</v>
      </c>
      <c r="Q40">
        <v>0</v>
      </c>
      <c r="R40">
        <v>0</v>
      </c>
      <c r="U40" t="s">
        <v>567</v>
      </c>
    </row>
    <row r="41" spans="1:22" x14ac:dyDescent="0.25">
      <c r="A41" t="s">
        <v>529</v>
      </c>
      <c r="N41" s="99" t="s">
        <v>495</v>
      </c>
      <c r="O41">
        <v>203.39999999999998</v>
      </c>
      <c r="P41">
        <v>121.28455737191275</v>
      </c>
      <c r="Q41">
        <v>203.39999999999998</v>
      </c>
      <c r="R41">
        <v>203.39978824774403</v>
      </c>
      <c r="V41" t="s">
        <v>568</v>
      </c>
    </row>
    <row r="42" spans="1:22" x14ac:dyDescent="0.25">
      <c r="A42" t="s">
        <v>527</v>
      </c>
      <c r="P42">
        <f>P41/O41</f>
        <v>0.59628592611559861</v>
      </c>
      <c r="U42" t="s">
        <v>569</v>
      </c>
    </row>
    <row r="43" spans="1:22" x14ac:dyDescent="0.25">
      <c r="A43">
        <v>13080</v>
      </c>
      <c r="B43" t="s">
        <v>531</v>
      </c>
    </row>
    <row r="44" spans="1:22" x14ac:dyDescent="0.25">
      <c r="A44">
        <f>A43*2000/1000000</f>
        <v>26.16</v>
      </c>
      <c r="B44" t="s">
        <v>530</v>
      </c>
    </row>
    <row r="48" spans="1:22" x14ac:dyDescent="0.25">
      <c r="F48">
        <v>0.33</v>
      </c>
      <c r="G48" t="s">
        <v>563</v>
      </c>
    </row>
    <row r="49" spans="6:7" x14ac:dyDescent="0.25">
      <c r="F49">
        <f>A44*F48</f>
        <v>8.6327999999999996</v>
      </c>
      <c r="G49"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abSelected="1" topLeftCell="A8" workbookViewId="0">
      <selection activeCell="P17" sqref="P17"/>
    </sheetView>
  </sheetViews>
  <sheetFormatPr defaultRowHeight="15" x14ac:dyDescent="0.25"/>
  <cols>
    <col min="3" max="3" width="12.28515625" customWidth="1"/>
  </cols>
  <sheetData>
    <row r="1" spans="1:24" x14ac:dyDescent="0.25">
      <c r="A1" t="s">
        <v>409</v>
      </c>
    </row>
    <row r="2" spans="1:24" x14ac:dyDescent="0.25">
      <c r="A2" t="s">
        <v>657</v>
      </c>
    </row>
    <row r="3" spans="1:24" x14ac:dyDescent="0.25">
      <c r="N3" t="s">
        <v>219</v>
      </c>
    </row>
    <row r="4" spans="1:24" x14ac:dyDescent="0.25">
      <c r="A4" s="59" t="s">
        <v>410</v>
      </c>
      <c r="N4" t="s">
        <v>220</v>
      </c>
    </row>
    <row r="5" spans="1:24" x14ac:dyDescent="0.25">
      <c r="A5" t="s">
        <v>411</v>
      </c>
      <c r="N5" t="s">
        <v>257</v>
      </c>
    </row>
    <row r="6" spans="1:24" x14ac:dyDescent="0.25">
      <c r="N6" t="s">
        <v>221</v>
      </c>
    </row>
    <row r="7" spans="1:24" x14ac:dyDescent="0.25">
      <c r="A7" t="s">
        <v>413</v>
      </c>
      <c r="N7" t="s">
        <v>222</v>
      </c>
    </row>
    <row r="9" spans="1:24" x14ac:dyDescent="0.25">
      <c r="A9" t="s">
        <v>417</v>
      </c>
    </row>
    <row r="10" spans="1:24" x14ac:dyDescent="0.25">
      <c r="N10" t="s">
        <v>229</v>
      </c>
      <c r="O10">
        <v>0</v>
      </c>
      <c r="P10">
        <v>1</v>
      </c>
      <c r="Q10">
        <v>2</v>
      </c>
      <c r="R10">
        <v>3</v>
      </c>
    </row>
    <row r="11" spans="1:24" x14ac:dyDescent="0.25">
      <c r="N11" s="7" t="s">
        <v>550</v>
      </c>
    </row>
    <row r="12" spans="1:24" x14ac:dyDescent="0.25">
      <c r="A12" s="59" t="s">
        <v>418</v>
      </c>
      <c r="N12" s="105" t="s">
        <v>438</v>
      </c>
      <c r="O12">
        <f>A19</f>
        <v>455.1</v>
      </c>
      <c r="P12">
        <f>A19-B23*B25*(1+B24)*P16</f>
        <v>120.74291306400005</v>
      </c>
      <c r="Q12">
        <f>A19</f>
        <v>455.1</v>
      </c>
      <c r="R12">
        <f>A19</f>
        <v>455.1</v>
      </c>
      <c r="T12" t="s">
        <v>536</v>
      </c>
    </row>
    <row r="13" spans="1:24" x14ac:dyDescent="0.25">
      <c r="A13" s="97">
        <v>615</v>
      </c>
      <c r="B13" t="s">
        <v>419</v>
      </c>
      <c r="N13" s="105" t="s">
        <v>425</v>
      </c>
      <c r="O13">
        <v>0</v>
      </c>
      <c r="P13">
        <v>0</v>
      </c>
      <c r="Q13">
        <v>0</v>
      </c>
      <c r="R13">
        <f>P16</f>
        <v>6.35</v>
      </c>
      <c r="T13" t="s">
        <v>538</v>
      </c>
    </row>
    <row r="14" spans="1:24" x14ac:dyDescent="0.25">
      <c r="A14">
        <v>8.6999999999999993</v>
      </c>
      <c r="B14" t="s">
        <v>637</v>
      </c>
      <c r="N14" s="105" t="s">
        <v>426</v>
      </c>
      <c r="O14">
        <f>O13*($B$22-1)</f>
        <v>0</v>
      </c>
      <c r="P14">
        <f>P13*($B$22-1)</f>
        <v>0</v>
      </c>
      <c r="Q14">
        <f>Q13*($B$22-1)</f>
        <v>0</v>
      </c>
      <c r="R14">
        <f>R13*($B$22-1)</f>
        <v>75.818999999999988</v>
      </c>
    </row>
    <row r="15" spans="1:24" x14ac:dyDescent="0.25">
      <c r="A15" s="106">
        <v>0.33</v>
      </c>
      <c r="B15" t="s">
        <v>422</v>
      </c>
      <c r="N15" s="105" t="s">
        <v>428</v>
      </c>
      <c r="O15">
        <f>O14+O13</f>
        <v>0</v>
      </c>
      <c r="P15">
        <f>P14+P13</f>
        <v>0</v>
      </c>
      <c r="Q15">
        <f>Q14+Q13</f>
        <v>0</v>
      </c>
      <c r="R15">
        <f>R14+R13</f>
        <v>82.168999999999983</v>
      </c>
      <c r="X15" s="59" t="s">
        <v>539</v>
      </c>
    </row>
    <row r="16" spans="1:24" x14ac:dyDescent="0.25">
      <c r="A16" s="106">
        <v>0.26</v>
      </c>
      <c r="B16" t="s">
        <v>423</v>
      </c>
      <c r="N16" s="105" t="s">
        <v>424</v>
      </c>
      <c r="O16">
        <v>0</v>
      </c>
      <c r="P16">
        <v>6.35</v>
      </c>
      <c r="Q16">
        <v>0</v>
      </c>
      <c r="R16">
        <v>0</v>
      </c>
      <c r="S16" t="s">
        <v>565</v>
      </c>
      <c r="X16" s="97" t="s">
        <v>540</v>
      </c>
    </row>
    <row r="17" spans="1:25" x14ac:dyDescent="0.25">
      <c r="A17">
        <f>A14*(1+A15)</f>
        <v>11.571</v>
      </c>
      <c r="B17" t="s">
        <v>523</v>
      </c>
      <c r="N17" s="105" t="s">
        <v>440</v>
      </c>
      <c r="O17">
        <f>O16</f>
        <v>0</v>
      </c>
      <c r="P17">
        <f>P16</f>
        <v>6.35</v>
      </c>
      <c r="Q17">
        <f>Q16</f>
        <v>0</v>
      </c>
      <c r="R17">
        <f>R16</f>
        <v>0</v>
      </c>
      <c r="Y17" t="s">
        <v>544</v>
      </c>
    </row>
    <row r="18" spans="1:25" x14ac:dyDescent="0.25">
      <c r="A18">
        <f>A14</f>
        <v>8.6999999999999993</v>
      </c>
      <c r="B18" t="s">
        <v>524</v>
      </c>
      <c r="N18" s="105" t="s">
        <v>641</v>
      </c>
      <c r="O18">
        <f>($A$19-O12)</f>
        <v>0</v>
      </c>
      <c r="P18">
        <f>($A$19-P12)</f>
        <v>334.35708693599997</v>
      </c>
      <c r="Q18">
        <f>($A$19-Q12)</f>
        <v>0</v>
      </c>
      <c r="R18">
        <f>($A$19-R12)</f>
        <v>0</v>
      </c>
      <c r="Y18" t="s">
        <v>545</v>
      </c>
    </row>
    <row r="19" spans="1:25" x14ac:dyDescent="0.25">
      <c r="A19">
        <f>A13*(1-A16)</f>
        <v>455.1</v>
      </c>
      <c r="B19" t="s">
        <v>421</v>
      </c>
      <c r="N19" s="105" t="s">
        <v>441</v>
      </c>
      <c r="O19">
        <f>$B$24*$B$25*O16</f>
        <v>0</v>
      </c>
      <c r="P19">
        <f>$B$24*$B$25*P16</f>
        <v>8.825941199999999</v>
      </c>
      <c r="Q19">
        <f>$B$24*$B$25*Q16</f>
        <v>0</v>
      </c>
      <c r="R19">
        <f>$B$24*$B$25*R16</f>
        <v>0</v>
      </c>
      <c r="X19" t="s">
        <v>543</v>
      </c>
    </row>
    <row r="20" spans="1:25" x14ac:dyDescent="0.25">
      <c r="N20" s="119"/>
      <c r="O20" s="10"/>
      <c r="P20" s="10"/>
      <c r="Q20" s="10"/>
      <c r="R20" s="10"/>
      <c r="Y20" t="s">
        <v>553</v>
      </c>
    </row>
    <row r="21" spans="1:25" x14ac:dyDescent="0.25">
      <c r="A21" s="59" t="s">
        <v>420</v>
      </c>
      <c r="N21" s="7" t="s">
        <v>549</v>
      </c>
      <c r="X21" t="s">
        <v>541</v>
      </c>
    </row>
    <row r="22" spans="1:25" x14ac:dyDescent="0.25">
      <c r="A22" t="s">
        <v>412</v>
      </c>
      <c r="B22">
        <v>12.94</v>
      </c>
      <c r="N22" s="105" t="s">
        <v>547</v>
      </c>
      <c r="O22">
        <f>O12*$A$17</f>
        <v>5265.9620999999997</v>
      </c>
      <c r="P22">
        <f>P12*$A$17</f>
        <v>1397.1162470635445</v>
      </c>
      <c r="Q22">
        <f>Q12*$A$17</f>
        <v>5265.9620999999997</v>
      </c>
      <c r="R22">
        <f>R12*$A$17</f>
        <v>5265.9620999999997</v>
      </c>
      <c r="X22" t="s">
        <v>542</v>
      </c>
    </row>
    <row r="23" spans="1:25" x14ac:dyDescent="0.25">
      <c r="A23" t="s">
        <v>415</v>
      </c>
      <c r="B23">
        <v>9.7799999999999994</v>
      </c>
      <c r="N23" s="105" t="s">
        <v>439</v>
      </c>
      <c r="O23">
        <f>O15*$A$36</f>
        <v>0</v>
      </c>
      <c r="P23">
        <f>P15*$A$36</f>
        <v>0</v>
      </c>
      <c r="Q23">
        <f>Q15*$A$36</f>
        <v>0</v>
      </c>
      <c r="R23">
        <f>R15*$A$36</f>
        <v>738.46101989999966</v>
      </c>
      <c r="Y23" t="s">
        <v>554</v>
      </c>
    </row>
    <row r="24" spans="1:25" x14ac:dyDescent="0.25">
      <c r="A24" t="s">
        <v>416</v>
      </c>
      <c r="B24">
        <v>0.34799999999999998</v>
      </c>
      <c r="N24" s="105" t="s">
        <v>645</v>
      </c>
      <c r="O24">
        <f>O18*$A$36</f>
        <v>0</v>
      </c>
      <c r="P24">
        <f>P18*$A$36</f>
        <v>3004.9005760025248</v>
      </c>
      <c r="Q24">
        <f>Q18*$A$36</f>
        <v>0</v>
      </c>
      <c r="R24">
        <f>R18*$A$36</f>
        <v>0</v>
      </c>
    </row>
    <row r="25" spans="1:25" x14ac:dyDescent="0.25">
      <c r="A25" t="s">
        <v>414</v>
      </c>
      <c r="B25">
        <v>3.9940000000000002</v>
      </c>
      <c r="N25" s="105" t="s">
        <v>546</v>
      </c>
      <c r="O25">
        <f>O17*$A$18</f>
        <v>0</v>
      </c>
      <c r="P25">
        <f>P17*$A$18*$B$25*(1+$B$24)*(1+A37)</f>
        <v>1015.001080873084</v>
      </c>
      <c r="Q25">
        <f>Q17*$A$18</f>
        <v>0</v>
      </c>
      <c r="R25">
        <f>R17*$A$18</f>
        <v>0</v>
      </c>
      <c r="S25" t="s">
        <v>552</v>
      </c>
    </row>
    <row r="26" spans="1:25" x14ac:dyDescent="0.25">
      <c r="M26" s="10"/>
      <c r="N26" s="105" t="s">
        <v>534</v>
      </c>
      <c r="O26">
        <f>O22+O23+O25</f>
        <v>5265.9620999999997</v>
      </c>
      <c r="P26">
        <f>P22+P23+P25</f>
        <v>2412.1173279366285</v>
      </c>
      <c r="Q26">
        <f>Q22+Q23+Q25</f>
        <v>5265.9620999999997</v>
      </c>
      <c r="R26">
        <f>R22+R23+R25</f>
        <v>6004.4231198999996</v>
      </c>
      <c r="S26" t="s">
        <v>551</v>
      </c>
    </row>
    <row r="27" spans="1:25" x14ac:dyDescent="0.25">
      <c r="A27" s="59" t="s">
        <v>429</v>
      </c>
      <c r="N27" s="105" t="s">
        <v>556</v>
      </c>
      <c r="O27">
        <f t="shared" ref="O27:R29" si="0">O22/$A$44</f>
        <v>201.29824541284404</v>
      </c>
      <c r="P27">
        <f t="shared" si="0"/>
        <v>53.406584367872497</v>
      </c>
      <c r="Q27">
        <f t="shared" si="0"/>
        <v>201.29824541284404</v>
      </c>
      <c r="R27">
        <f t="shared" si="0"/>
        <v>201.29824541284404</v>
      </c>
      <c r="S27" t="s">
        <v>555</v>
      </c>
    </row>
    <row r="28" spans="1:25" x14ac:dyDescent="0.25">
      <c r="A28">
        <f>A35*A33/A34*A31</f>
        <v>6.3508264483312731</v>
      </c>
      <c r="B28" t="s">
        <v>430</v>
      </c>
      <c r="N28" s="105" t="s">
        <v>557</v>
      </c>
      <c r="O28">
        <f t="shared" si="0"/>
        <v>0</v>
      </c>
      <c r="P28">
        <f t="shared" si="0"/>
        <v>0</v>
      </c>
      <c r="Q28">
        <f t="shared" si="0"/>
        <v>0</v>
      </c>
      <c r="R28">
        <f t="shared" si="0"/>
        <v>28.228632259174297</v>
      </c>
    </row>
    <row r="29" spans="1:25" x14ac:dyDescent="0.25">
      <c r="A29" s="106">
        <v>0.9</v>
      </c>
      <c r="B29" t="s">
        <v>432</v>
      </c>
      <c r="N29" s="105" t="s">
        <v>642</v>
      </c>
      <c r="O29">
        <f t="shared" si="0"/>
        <v>0</v>
      </c>
      <c r="P29">
        <f t="shared" si="0"/>
        <v>114.86622996951547</v>
      </c>
      <c r="Q29">
        <f t="shared" si="0"/>
        <v>0</v>
      </c>
      <c r="R29">
        <f t="shared" si="0"/>
        <v>0</v>
      </c>
    </row>
    <row r="30" spans="1:25" x14ac:dyDescent="0.25">
      <c r="A30" s="108">
        <f>(A29*A15+(A16-A15))/A16</f>
        <v>0.87307692307692319</v>
      </c>
      <c r="B30" t="s">
        <v>433</v>
      </c>
      <c r="N30" s="105" t="s">
        <v>643</v>
      </c>
      <c r="O30">
        <f>SUM(O27:O29)</f>
        <v>201.29824541284404</v>
      </c>
      <c r="P30">
        <f>SUM(P27:P29)</f>
        <v>168.27281433738796</v>
      </c>
      <c r="Q30">
        <f>SUM(Q27:Q29)</f>
        <v>201.29824541284404</v>
      </c>
      <c r="R30">
        <f>SUM(R27:R29)</f>
        <v>229.52687767201834</v>
      </c>
    </row>
    <row r="31" spans="1:25" x14ac:dyDescent="0.25">
      <c r="A31" s="106">
        <v>0.58789999999999998</v>
      </c>
      <c r="B31" t="s">
        <v>431</v>
      </c>
      <c r="N31" s="105" t="s">
        <v>558</v>
      </c>
      <c r="O31">
        <f>O25/$A$44</f>
        <v>0</v>
      </c>
      <c r="P31">
        <f>P25/$A$44</f>
        <v>38.799735507380888</v>
      </c>
      <c r="Q31">
        <f>Q25/$A$44</f>
        <v>0</v>
      </c>
      <c r="R31">
        <f>R25/$A$44</f>
        <v>0</v>
      </c>
    </row>
    <row r="32" spans="1:25" x14ac:dyDescent="0.25">
      <c r="A32">
        <f>A30*(A13-A19)+A19</f>
        <v>594.70500000000004</v>
      </c>
      <c r="B32" t="s">
        <v>434</v>
      </c>
      <c r="N32" s="105" t="s">
        <v>644</v>
      </c>
      <c r="O32">
        <f>O31+O29+O28+O27</f>
        <v>201.29824541284404</v>
      </c>
      <c r="P32">
        <f>P31+P29+P28+P27</f>
        <v>207.07254984476884</v>
      </c>
      <c r="Q32">
        <f>Q31+Q29+Q28+Q27</f>
        <v>201.29824541284404</v>
      </c>
      <c r="R32">
        <f>R31+R29+R28+R27</f>
        <v>229.52687767201834</v>
      </c>
    </row>
    <row r="33" spans="1:20" x14ac:dyDescent="0.25">
      <c r="A33">
        <f>A32-A19</f>
        <v>139.60500000000002</v>
      </c>
      <c r="B33" t="s">
        <v>435</v>
      </c>
      <c r="N33" s="105" t="s">
        <v>427</v>
      </c>
      <c r="O33">
        <f>O15+O12+O18</f>
        <v>455.1</v>
      </c>
      <c r="P33">
        <f>P15+P12+P18</f>
        <v>455.1</v>
      </c>
      <c r="Q33">
        <f>Q15+Q12+Q18</f>
        <v>455.1</v>
      </c>
      <c r="R33">
        <f>R15+R12+R18</f>
        <v>537.26900000000001</v>
      </c>
    </row>
    <row r="34" spans="1:20" x14ac:dyDescent="0.25">
      <c r="A34">
        <v>8.09E-2</v>
      </c>
      <c r="B34" t="s">
        <v>436</v>
      </c>
      <c r="N34" s="105" t="s">
        <v>648</v>
      </c>
      <c r="O34">
        <f>O27*$A$47</f>
        <v>603.89473623853212</v>
      </c>
      <c r="P34">
        <f>P27*$A$47</f>
        <v>160.21975310361751</v>
      </c>
      <c r="Q34">
        <f>Q27*$A$47</f>
        <v>603.89473623853212</v>
      </c>
      <c r="R34">
        <f>R27*$A$47</f>
        <v>603.89473623853212</v>
      </c>
      <c r="T34" s="155"/>
    </row>
    <row r="35" spans="1:20" x14ac:dyDescent="0.25">
      <c r="A35">
        <v>6.2599999999999999E-3</v>
      </c>
      <c r="B35" t="s">
        <v>437</v>
      </c>
      <c r="N35" s="105" t="s">
        <v>649</v>
      </c>
      <c r="O35">
        <f>O29*$A$47</f>
        <v>0</v>
      </c>
      <c r="P35">
        <f>P29*$A$47</f>
        <v>344.59868990854642</v>
      </c>
      <c r="Q35">
        <f>Q29*$A$47</f>
        <v>0</v>
      </c>
      <c r="R35">
        <f>R29*$A$47</f>
        <v>0</v>
      </c>
      <c r="T35" s="155"/>
    </row>
    <row r="36" spans="1:20" x14ac:dyDescent="0.25">
      <c r="A36">
        <f>A14*(1+A15*(1-A29))</f>
        <v>8.9870999999999981</v>
      </c>
      <c r="B36" t="s">
        <v>525</v>
      </c>
      <c r="N36" s="105" t="s">
        <v>650</v>
      </c>
      <c r="O36">
        <f>O31*$A$47</f>
        <v>0</v>
      </c>
      <c r="P36">
        <f>P31*$A$47</f>
        <v>116.39920652214266</v>
      </c>
      <c r="Q36">
        <f>Q31*$A$47</f>
        <v>0</v>
      </c>
      <c r="R36">
        <f>R31*$A$47</f>
        <v>0</v>
      </c>
    </row>
    <row r="37" spans="1:20" x14ac:dyDescent="0.25">
      <c r="A37">
        <f>ParameterEstimation650MWPlant!AD16</f>
        <v>2.412522897320355</v>
      </c>
      <c r="B37" t="s">
        <v>566</v>
      </c>
      <c r="N37" s="105" t="s">
        <v>651</v>
      </c>
      <c r="O37">
        <f>O28*$A$48</f>
        <v>0</v>
      </c>
      <c r="P37">
        <f>P28*$A$48</f>
        <v>0</v>
      </c>
      <c r="Q37">
        <f>Q28*$A$48</f>
        <v>0</v>
      </c>
      <c r="R37">
        <f>R28*$A$48</f>
        <v>0</v>
      </c>
    </row>
    <row r="38" spans="1:20" x14ac:dyDescent="0.25">
      <c r="N38" s="105" t="s">
        <v>652</v>
      </c>
      <c r="O38">
        <f>SUM(O34:O37)</f>
        <v>603.89473623853212</v>
      </c>
      <c r="P38">
        <f>SUM(P34:P37)</f>
        <v>621.21764953430659</v>
      </c>
      <c r="Q38">
        <f>SUM(Q34:Q37)</f>
        <v>603.89473623853212</v>
      </c>
      <c r="R38">
        <f>SUM(R34:R37)</f>
        <v>603.89473623853212</v>
      </c>
    </row>
    <row r="39" spans="1:20" x14ac:dyDescent="0.25">
      <c r="A39" s="59" t="s">
        <v>526</v>
      </c>
    </row>
    <row r="40" spans="1:20" x14ac:dyDescent="0.25">
      <c r="A40" t="s">
        <v>528</v>
      </c>
    </row>
    <row r="41" spans="1:20" x14ac:dyDescent="0.25">
      <c r="A41" t="s">
        <v>529</v>
      </c>
    </row>
    <row r="42" spans="1:20" x14ac:dyDescent="0.25">
      <c r="A42" t="s">
        <v>527</v>
      </c>
      <c r="N42" s="105"/>
    </row>
    <row r="43" spans="1:20" x14ac:dyDescent="0.25">
      <c r="A43">
        <v>13080</v>
      </c>
      <c r="B43" t="s">
        <v>531</v>
      </c>
      <c r="N43" s="105"/>
    </row>
    <row r="44" spans="1:20" x14ac:dyDescent="0.25">
      <c r="A44">
        <f>A43*2000/1000000</f>
        <v>26.16</v>
      </c>
      <c r="B44" t="s">
        <v>530</v>
      </c>
      <c r="N44" s="105"/>
    </row>
    <row r="45" spans="1:20" x14ac:dyDescent="0.25">
      <c r="N45" s="105"/>
    </row>
    <row r="46" spans="1:20" x14ac:dyDescent="0.25">
      <c r="A46" s="59" t="s">
        <v>646</v>
      </c>
      <c r="N46" s="105"/>
    </row>
    <row r="47" spans="1:20" x14ac:dyDescent="0.25">
      <c r="A47">
        <v>3</v>
      </c>
      <c r="B47" t="s">
        <v>655</v>
      </c>
      <c r="N47" s="99"/>
    </row>
    <row r="48" spans="1:20" x14ac:dyDescent="0.25">
      <c r="A48">
        <v>0</v>
      </c>
      <c r="B48" t="s">
        <v>647</v>
      </c>
      <c r="N48" s="99"/>
    </row>
    <row r="50" spans="1:2" x14ac:dyDescent="0.25">
      <c r="A50" s="59" t="s">
        <v>653</v>
      </c>
    </row>
    <row r="51" spans="1:2" x14ac:dyDescent="0.25">
      <c r="A51">
        <v>1</v>
      </c>
      <c r="B51" t="s">
        <v>654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Legend</vt:lpstr>
      <vt:lpstr>FLEXCCSPARAMETERS</vt:lpstr>
      <vt:lpstr>ParameterEstimation650MWPlant</vt:lpstr>
      <vt:lpstr>NumericExample650MWVent</vt:lpstr>
      <vt:lpstr>NumericExample650MW</vt:lpstr>
      <vt:lpstr>NumericExample650MWAbsorber</vt:lpstr>
      <vt:lpstr>ExAsModeledInPLEXOS</vt:lpstr>
      <vt:lpstr>ExAsModeledInPLEXOSVent</vt:lpstr>
      <vt:lpstr>ExAsModeledInPLEXOSVent@VentGen</vt:lpstr>
      <vt:lpstr>NumericExampleDiffTankSize</vt:lpstr>
      <vt:lpstr>ParameterEstimation650MWHighHR</vt:lpstr>
      <vt:lpstr>NumericExample650MWHighHR</vt:lpstr>
      <vt:lpstr>ParameterEstimation650MWMidHR</vt:lpstr>
      <vt:lpstr>ParamsAcrossHRs650MW</vt:lpstr>
      <vt:lpstr>ParameterEstimation450MWPlant</vt:lpstr>
      <vt:lpstr>NumericExampleV2MW450</vt:lpstr>
      <vt:lpstr>NumericExampleV2MW450DiffTank</vt:lpstr>
      <vt:lpstr>OLD DO NOT USE</vt:lpstr>
      <vt:lpstr>NumericExample_OLD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mcraig10</dc:creator>
  <cp:lastModifiedBy>mcraig10</cp:lastModifiedBy>
  <dcterms:created xsi:type="dcterms:W3CDTF">2015-08-28T19:49:04Z</dcterms:created>
  <dcterms:modified xsi:type="dcterms:W3CDTF">2015-09-21T22:14:23Z</dcterms:modified>
</cp:coreProperties>
</file>