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csam\Dropbox\Fin 1\2018_reviewsessions\session 4 -- midterm review\"/>
    </mc:Choice>
  </mc:AlternateContent>
  <xr:revisionPtr revIDLastSave="0" documentId="13_ncr:1_{5CB3D446-DC97-4E45-87A2-9D260B337EC3}" xr6:coauthVersionLast="34" xr6:coauthVersionMax="34" xr10:uidLastSave="{00000000-0000-0000-0000-000000000000}"/>
  <bookViews>
    <workbookView xWindow="29868" yWindow="828" windowWidth="21348" windowHeight="13680" tabRatio="892" xr2:uid="{00000000-000D-0000-FFFF-FFFF00000000}"/>
  </bookViews>
  <sheets>
    <sheet name="Example 1" sheetId="13" r:id="rId1"/>
    <sheet name="Example 2" sheetId="16" r:id="rId2"/>
    <sheet name="Example 3" sheetId="17" r:id="rId3"/>
    <sheet name="Q9 Template" sheetId="15" r:id="rId4"/>
    <sheet name="Q9 Solution" sheetId="9" r:id="rId5"/>
    <sheet name="Q2" sheetId="19" r:id="rId6"/>
    <sheet name="Q1" sheetId="12" r:id="rId7"/>
    <sheet name="Question 7" sheetId="7" r:id="rId8"/>
    <sheet name="Q7Check" sheetId="21" r:id="rId9"/>
    <sheet name="Question 8" sheetId="8" r:id="rId10"/>
    <sheet name="Q8 Check" sheetId="23" r:id="rId11"/>
    <sheet name="Question 6" sheetId="3" r:id="rId12"/>
    <sheet name="Q6 Check" sheetId="26" r:id="rId13"/>
    <sheet name="Question 5" sheetId="2" r:id="rId14"/>
    <sheet name="Q5 Check" sheetId="24" r:id="rId15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6" l="1"/>
  <c r="F15" i="26"/>
  <c r="D5" i="26"/>
  <c r="F12" i="26" s="1"/>
  <c r="D4" i="26"/>
  <c r="F11" i="26" s="1"/>
  <c r="D3" i="26"/>
  <c r="F10" i="26" s="1"/>
  <c r="D2" i="26"/>
  <c r="F9" i="26" s="1"/>
  <c r="L9" i="24"/>
  <c r="L7" i="24"/>
  <c r="L8" i="24" s="1"/>
  <c r="C26" i="2"/>
  <c r="J3" i="24"/>
  <c r="J1" i="24"/>
  <c r="D7" i="24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C8" i="24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7" i="24"/>
  <c r="H7" i="23"/>
  <c r="I7" i="23" s="1"/>
  <c r="F12" i="23"/>
  <c r="G11" i="23" s="1"/>
  <c r="F11" i="23"/>
  <c r="F7" i="23"/>
  <c r="C12" i="23"/>
  <c r="C8" i="23"/>
  <c r="F8" i="23" s="1"/>
  <c r="H8" i="23" s="1"/>
  <c r="I8" i="23" s="1"/>
  <c r="B7" i="23"/>
  <c r="B8" i="23" s="1"/>
  <c r="B9" i="23" s="1"/>
  <c r="B10" i="23" s="1"/>
  <c r="B11" i="23" s="1"/>
  <c r="B12" i="23" s="1"/>
  <c r="D9" i="21"/>
  <c r="D10" i="21" s="1"/>
  <c r="D7" i="21"/>
  <c r="B7" i="12"/>
  <c r="B3" i="12"/>
  <c r="B4" i="12" s="1"/>
  <c r="D5" i="19"/>
  <c r="G6" i="16"/>
  <c r="H7" i="16" s="1"/>
  <c r="F6" i="16"/>
  <c r="F7" i="16" s="1"/>
  <c r="E6" i="16"/>
  <c r="E7" i="16" s="1"/>
  <c r="D6" i="16"/>
  <c r="D7" i="16" s="1"/>
  <c r="C7" i="17"/>
  <c r="C10" i="17"/>
  <c r="G9" i="17"/>
  <c r="F9" i="17"/>
  <c r="E9" i="17"/>
  <c r="D9" i="17"/>
  <c r="D3" i="16"/>
  <c r="E3" i="16" s="1"/>
  <c r="F3" i="16" s="1"/>
  <c r="G3" i="16" s="1"/>
  <c r="H3" i="16" s="1"/>
  <c r="D27" i="15"/>
  <c r="E27" i="15" s="1"/>
  <c r="F27" i="15" s="1"/>
  <c r="G27" i="15" s="1"/>
  <c r="H27" i="15" s="1"/>
  <c r="E5" i="15"/>
  <c r="F5" i="15" s="1"/>
  <c r="G5" i="15" s="1"/>
  <c r="H5" i="15" s="1"/>
  <c r="D5" i="15"/>
  <c r="C7" i="13"/>
  <c r="G6" i="13"/>
  <c r="F6" i="13"/>
  <c r="E6" i="13"/>
  <c r="D6" i="13"/>
  <c r="H11" i="23" l="1"/>
  <c r="I11" i="23" s="1"/>
  <c r="C16" i="26"/>
  <c r="C9" i="23"/>
  <c r="G7" i="16"/>
  <c r="F17" i="26"/>
  <c r="D9" i="26"/>
  <c r="D10" i="26"/>
  <c r="D11" i="26"/>
  <c r="F21" i="24"/>
  <c r="D10" i="17"/>
  <c r="E10" i="17" s="1"/>
  <c r="F10" i="17" s="1"/>
  <c r="G10" i="17" s="1"/>
  <c r="D7" i="13"/>
  <c r="E7" i="13" s="1"/>
  <c r="F7" i="13" s="1"/>
  <c r="G7" i="13" s="1"/>
  <c r="G9" i="13" s="1"/>
  <c r="E3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B9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C10" i="23" l="1"/>
  <c r="F10" i="23" s="1"/>
  <c r="H10" i="23" s="1"/>
  <c r="I10" i="23" s="1"/>
  <c r="F9" i="23"/>
  <c r="H9" i="23" s="1"/>
  <c r="I9" i="23" s="1"/>
  <c r="C15" i="26"/>
  <c r="C17" i="26" s="1"/>
  <c r="I6" i="24"/>
  <c r="G22" i="24"/>
  <c r="G23" i="24" s="1"/>
  <c r="G24" i="24" s="1"/>
  <c r="G25" i="24" s="1"/>
  <c r="G10" i="13"/>
  <c r="G11" i="13" s="1"/>
  <c r="L10" i="24" l="1"/>
  <c r="L11" i="24" s="1"/>
  <c r="J2" i="24"/>
  <c r="J6" i="23"/>
  <c r="D5" i="9"/>
  <c r="E5" i="9"/>
  <c r="F5" i="9" s="1"/>
  <c r="G5" i="9" s="1"/>
  <c r="H5" i="9" s="1"/>
  <c r="D8" i="9"/>
  <c r="D10" i="9" s="1"/>
  <c r="D11" i="9" s="1"/>
  <c r="E8" i="9"/>
  <c r="F8" i="9"/>
  <c r="G8" i="9"/>
  <c r="D15" i="9"/>
  <c r="D27" i="9" s="1"/>
  <c r="D9" i="9"/>
  <c r="E15" i="9"/>
  <c r="E9" i="9" s="1"/>
  <c r="E10" i="9" s="1"/>
  <c r="F15" i="9"/>
  <c r="F9" i="9" s="1"/>
  <c r="F10" i="9" s="1"/>
  <c r="G15" i="9"/>
  <c r="G9" i="9" s="1"/>
  <c r="C16" i="9"/>
  <c r="G17" i="9"/>
  <c r="G29" i="9" s="1"/>
  <c r="D19" i="9"/>
  <c r="D20" i="9" s="1"/>
  <c r="D21" i="9" s="1"/>
  <c r="D30" i="9" s="1"/>
  <c r="E19" i="9"/>
  <c r="E20" i="9" s="1"/>
  <c r="F19" i="9"/>
  <c r="F20" i="9" s="1"/>
  <c r="F21" i="9" s="1"/>
  <c r="F30" i="9" s="1"/>
  <c r="G19" i="9"/>
  <c r="G20" i="9" s="1"/>
  <c r="H21" i="9" s="1"/>
  <c r="H30" i="9" s="1"/>
  <c r="D25" i="9"/>
  <c r="E25" i="9"/>
  <c r="F25" i="9"/>
  <c r="G25" i="9"/>
  <c r="H25" i="9"/>
  <c r="C26" i="9"/>
  <c r="C31" i="9" s="1"/>
  <c r="H26" i="9"/>
  <c r="C27" i="9"/>
  <c r="G27" i="9"/>
  <c r="H27" i="9"/>
  <c r="C28" i="9"/>
  <c r="C30" i="9"/>
  <c r="C5" i="8"/>
  <c r="C6" i="8" s="1"/>
  <c r="C7" i="8" s="1"/>
  <c r="C8" i="8" s="1"/>
  <c r="C9" i="8" s="1"/>
  <c r="C10" i="8" s="1"/>
  <c r="G5" i="8"/>
  <c r="D6" i="8"/>
  <c r="G6" i="8" s="1"/>
  <c r="G9" i="8"/>
  <c r="F15" i="8" s="1"/>
  <c r="D10" i="8"/>
  <c r="G10" i="8" s="1"/>
  <c r="G19" i="8" s="1"/>
  <c r="G20" i="8" s="1"/>
  <c r="F14" i="8"/>
  <c r="E5" i="7"/>
  <c r="E8" i="7"/>
  <c r="F10" i="7" s="1"/>
  <c r="F16" i="3"/>
  <c r="F18" i="3" s="1"/>
  <c r="F17" i="3"/>
  <c r="D3" i="3"/>
  <c r="D10" i="3" s="1"/>
  <c r="D4" i="3"/>
  <c r="D11" i="3" s="1"/>
  <c r="D5" i="3"/>
  <c r="D12" i="3" s="1"/>
  <c r="D6" i="3"/>
  <c r="F13" i="3" s="1"/>
  <c r="F19" i="2"/>
  <c r="F20" i="2"/>
  <c r="F21" i="2"/>
  <c r="F22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27" i="2"/>
  <c r="H31" i="9" l="1"/>
  <c r="H32" i="9" s="1"/>
  <c r="D16" i="9"/>
  <c r="E16" i="9" s="1"/>
  <c r="F16" i="9" s="1"/>
  <c r="G16" i="9" s="1"/>
  <c r="F23" i="2"/>
  <c r="C16" i="3"/>
  <c r="G10" i="9"/>
  <c r="F11" i="9"/>
  <c r="F12" i="9"/>
  <c r="F26" i="9" s="1"/>
  <c r="E19" i="2"/>
  <c r="D20" i="2"/>
  <c r="E21" i="9"/>
  <c r="E30" i="9" s="1"/>
  <c r="G11" i="9"/>
  <c r="G12" i="9" s="1"/>
  <c r="G26" i="9" s="1"/>
  <c r="G31" i="9" s="1"/>
  <c r="G32" i="9" s="1"/>
  <c r="C32" i="9"/>
  <c r="E11" i="9"/>
  <c r="E12" i="9" s="1"/>
  <c r="E26" i="9" s="1"/>
  <c r="E31" i="9" s="1"/>
  <c r="F27" i="9"/>
  <c r="G21" i="9"/>
  <c r="G30" i="9" s="1"/>
  <c r="E27" i="9"/>
  <c r="F12" i="3"/>
  <c r="D7" i="8"/>
  <c r="F11" i="3"/>
  <c r="F10" i="3"/>
  <c r="C17" i="3" s="1"/>
  <c r="C18" i="3" s="1"/>
  <c r="F19" i="8"/>
  <c r="F20" i="8" s="1"/>
  <c r="D12" i="9"/>
  <c r="D26" i="9" s="1"/>
  <c r="D31" i="9" s="1"/>
  <c r="D32" i="9" s="1"/>
  <c r="E32" i="9" l="1"/>
  <c r="C33" i="9" s="1"/>
  <c r="F31" i="9"/>
  <c r="F32" i="9" s="1"/>
  <c r="D8" i="8"/>
  <c r="G8" i="8" s="1"/>
  <c r="G7" i="8"/>
  <c r="E20" i="2"/>
  <c r="D21" i="2"/>
  <c r="F18" i="8" l="1"/>
  <c r="F21" i="8" s="1"/>
  <c r="F16" i="8" s="1"/>
  <c r="H18" i="8"/>
  <c r="H21" i="8" s="1"/>
  <c r="E21" i="2"/>
  <c r="E23" i="2" s="1"/>
  <c r="D22" i="2"/>
  <c r="E22" i="2" s="1"/>
  <c r="C34" i="9"/>
  <c r="G5" i="2" l="1"/>
  <c r="C25" i="2"/>
  <c r="C32" i="2" s="1"/>
  <c r="C28" i="2" l="1"/>
</calcChain>
</file>

<file path=xl/sharedStrings.xml><?xml version="1.0" encoding="utf-8"?>
<sst xmlns="http://schemas.openxmlformats.org/spreadsheetml/2006/main" count="242" uniqueCount="159">
  <si>
    <t>Question 1</t>
  </si>
  <si>
    <t>APR</t>
  </si>
  <si>
    <t>Question 2</t>
  </si>
  <si>
    <t>Question 3</t>
  </si>
  <si>
    <t>growth rate</t>
  </si>
  <si>
    <t>discount rate</t>
  </si>
  <si>
    <t>time</t>
  </si>
  <si>
    <t>age</t>
  </si>
  <si>
    <t>cost</t>
  </si>
  <si>
    <t>PV</t>
  </si>
  <si>
    <t>Total</t>
  </si>
  <si>
    <t>lump sum</t>
  </si>
  <si>
    <t>number of payments</t>
  </si>
  <si>
    <t>initial payment</t>
  </si>
  <si>
    <t>Direct version</t>
  </si>
  <si>
    <t>Maturity</t>
  </si>
  <si>
    <t>Bond Price</t>
  </si>
  <si>
    <t>Spot Rate</t>
  </si>
  <si>
    <t>present value at t=16</t>
  </si>
  <si>
    <t>annuity payment</t>
  </si>
  <si>
    <t>Cash Flow Before</t>
  </si>
  <si>
    <t>Cash Flow After</t>
  </si>
  <si>
    <t>Time</t>
  </si>
  <si>
    <t>Difference</t>
  </si>
  <si>
    <t>Total w/o delay</t>
  </si>
  <si>
    <t>Total w/ delay</t>
  </si>
  <si>
    <t>EBIT</t>
  </si>
  <si>
    <t>NOPAT</t>
  </si>
  <si>
    <t>CAPEX</t>
  </si>
  <si>
    <t>NWC</t>
  </si>
  <si>
    <t>FCF</t>
  </si>
  <si>
    <t>PV of FCF</t>
  </si>
  <si>
    <t>IRR w/o delay</t>
  </si>
  <si>
    <t>IRR w/ delay</t>
  </si>
  <si>
    <t>Change in NWC</t>
  </si>
  <si>
    <t>IRR</t>
  </si>
  <si>
    <t>Since the present value of the lease payments less than the upfront lease payment, should lease the system.</t>
  </si>
  <si>
    <t>Upfront cost</t>
  </si>
  <si>
    <t>Present value of monthly lease payments</t>
  </si>
  <si>
    <t>Effectively quarterly interest rate</t>
  </si>
  <si>
    <t>Lease payment</t>
  </si>
  <si>
    <t>Number of payments</t>
  </si>
  <si>
    <t>Interest compounded every three months</t>
  </si>
  <si>
    <t>6 year loan quarterly payments</t>
  </si>
  <si>
    <r>
      <t xml:space="preserve">Sum of the two </t>
    </r>
    <r>
      <rPr>
        <b/>
        <sz val="11"/>
        <color theme="1"/>
        <rFont val="Calibri"/>
        <family val="2"/>
        <scheme val="minor"/>
      </rPr>
      <t>t=0</t>
    </r>
    <r>
      <rPr>
        <sz val="12"/>
        <color theme="1"/>
        <rFont val="Calibri"/>
        <family val="2"/>
        <scheme val="minor"/>
      </rPr>
      <t xml:space="preserve"> PVs</t>
    </r>
  </si>
  <si>
    <t>PV at t=0 of dividends for years 5 and beyond</t>
  </si>
  <si>
    <t>PV at t=4 of dividends for years 5 and beyond using perpetuity with growth formula</t>
  </si>
  <si>
    <t>PV at t=0 of dividends for years 0 - 4</t>
  </si>
  <si>
    <t>What is the value of the company at t=0?</t>
  </si>
  <si>
    <t>c)</t>
  </si>
  <si>
    <t>What is the dividend at t=5?</t>
  </si>
  <si>
    <t>b)</t>
  </si>
  <si>
    <t>What is the dividend at t=1?</t>
  </si>
  <si>
    <t>a)</t>
  </si>
  <si>
    <t>Discount rate</t>
  </si>
  <si>
    <t>Dividend</t>
  </si>
  <si>
    <t xml:space="preserve">Dividend -- Payout </t>
  </si>
  <si>
    <t>g</t>
  </si>
  <si>
    <t>Earnings</t>
  </si>
  <si>
    <t>Since this is above the hurdle rate, the company would decide to enter the business.</t>
  </si>
  <si>
    <t>NPV of FCF</t>
  </si>
  <si>
    <t>Sale of CAPEX</t>
  </si>
  <si>
    <t>Depreciation</t>
  </si>
  <si>
    <t>Free Cash Flow Calculations</t>
  </si>
  <si>
    <t>Accounts Payable</t>
  </si>
  <si>
    <t>After-tax revenue from sale of CAPEX</t>
  </si>
  <si>
    <t>Book value of CAPEX</t>
  </si>
  <si>
    <t>Taxes (30%)</t>
  </si>
  <si>
    <t>SG&amp;A</t>
  </si>
  <si>
    <t>COGS</t>
  </si>
  <si>
    <t>Sales</t>
  </si>
  <si>
    <t>Notes</t>
  </si>
  <si>
    <t>Charged 50 million per year for production</t>
  </si>
  <si>
    <t>Tax Rate</t>
  </si>
  <si>
    <t>Accounts Recievable</t>
  </si>
  <si>
    <t>rate</t>
  </si>
  <si>
    <t>nper</t>
  </si>
  <si>
    <t>pv</t>
  </si>
  <si>
    <t>What is the apr?</t>
  </si>
  <si>
    <t>What is the per period rate</t>
  </si>
  <si>
    <t>How may periods are there?</t>
  </si>
  <si>
    <t>What is payment</t>
  </si>
  <si>
    <t>check</t>
  </si>
  <si>
    <t>payment starts at t=1 so can use npv</t>
  </si>
  <si>
    <t>As expected, they are the same!</t>
  </si>
  <si>
    <t>Example for After Tax Sale of CAPEX</t>
  </si>
  <si>
    <t>Sell CAPEX for</t>
  </si>
  <si>
    <t>Gain from Sale of CAPEX</t>
  </si>
  <si>
    <t>Tax on Sale of CAPEX</t>
  </si>
  <si>
    <t>tax rate</t>
  </si>
  <si>
    <t>Step 1 -- Figure Out Book Value of CAPEX</t>
  </si>
  <si>
    <t>Step 2 -- Get the sale price</t>
  </si>
  <si>
    <t>Step 3 -- subtract book value from sale price to get the "gain"</t>
  </si>
  <si>
    <t>Step 4 -- Apply taxes to gain</t>
  </si>
  <si>
    <t>Solution: Subtract taxes from Gain</t>
  </si>
  <si>
    <t>Accounts Rec.</t>
  </si>
  <si>
    <t>Step 2: Calculate change in NWC</t>
  </si>
  <si>
    <t>Intuition</t>
  </si>
  <si>
    <t>Your accounts payable went up, which implies that you got something, but there was no cash outflow</t>
  </si>
  <si>
    <t>t=1</t>
  </si>
  <si>
    <t>t=5</t>
  </si>
  <si>
    <t>Accounts payable went down, so you paid them off, a cash outflow</t>
  </si>
  <si>
    <r>
      <t xml:space="preserve">Remember, change in NWC is </t>
    </r>
    <r>
      <rPr>
        <b/>
        <sz val="12"/>
        <color theme="1"/>
        <rFont val="Calibri"/>
        <family val="2"/>
        <scheme val="minor"/>
      </rPr>
      <t>SUBTRACTED</t>
    </r>
    <r>
      <rPr>
        <sz val="12"/>
        <color theme="1"/>
        <rFont val="Calibri"/>
        <family val="2"/>
        <scheme val="minor"/>
      </rPr>
      <t xml:space="preserve"> from FCF, so the positive number implies we are adjusting cash flow down</t>
    </r>
  </si>
  <si>
    <r>
      <t xml:space="preserve">Remember, change in NWC is </t>
    </r>
    <r>
      <rPr>
        <b/>
        <sz val="12"/>
        <color theme="1"/>
        <rFont val="Calibri"/>
        <family val="2"/>
        <scheme val="minor"/>
      </rPr>
      <t>SUBTRACTED</t>
    </r>
    <r>
      <rPr>
        <sz val="12"/>
        <color theme="1"/>
        <rFont val="Calibri"/>
        <family val="2"/>
        <scheme val="minor"/>
      </rPr>
      <t xml:space="preserve"> from FCF, so the negative number implies we are adjusting cash flow up</t>
    </r>
  </si>
  <si>
    <t>Buy Machine</t>
  </si>
  <si>
    <t>Net Working Capital Example</t>
  </si>
  <si>
    <t>Depreciation Example</t>
  </si>
  <si>
    <t>Straight Line Depreciation</t>
  </si>
  <si>
    <t>Plan to sell in 4 years</t>
  </si>
  <si>
    <t>Irrelevant!</t>
  </si>
  <si>
    <t>Value</t>
  </si>
  <si>
    <t>Years</t>
  </si>
  <si>
    <t>Depreciation per year</t>
  </si>
  <si>
    <t>Buy machine with expected lifespan of 6 years for $60</t>
  </si>
  <si>
    <t>Step 1: Apply NWC formula</t>
  </si>
  <si>
    <t>NWC= Inventory + Rec. - Payables</t>
  </si>
  <si>
    <t>r</t>
  </si>
  <si>
    <t>years</t>
  </si>
  <si>
    <t>EAR</t>
  </si>
  <si>
    <t>per per year</t>
  </si>
  <si>
    <t>use PMT</t>
  </si>
  <si>
    <t>dividend</t>
  </si>
  <si>
    <t>d/(r-g)</t>
  </si>
  <si>
    <t>Annuity table -- check if final value is zero</t>
  </si>
  <si>
    <t>Purchase</t>
  </si>
  <si>
    <t>Lease</t>
  </si>
  <si>
    <t>num per</t>
  </si>
  <si>
    <t># pay/year</t>
  </si>
  <si>
    <t>total pmts</t>
  </si>
  <si>
    <t>apr</t>
  </si>
  <si>
    <t>per period rate</t>
  </si>
  <si>
    <t>pv of pmts</t>
  </si>
  <si>
    <t>PV of lease is "larger" (remember, it is an outflow), so prefer to lease</t>
  </si>
  <si>
    <t>EPS</t>
  </si>
  <si>
    <t>earnings fall</t>
  </si>
  <si>
    <t>reinvestment rate</t>
  </si>
  <si>
    <t>dividends</t>
  </si>
  <si>
    <t>growing annuity</t>
  </si>
  <si>
    <t>total CF</t>
  </si>
  <si>
    <t>npv</t>
  </si>
  <si>
    <t>start school</t>
  </si>
  <si>
    <t>monthly rate</t>
  </si>
  <si>
    <t>monthly payment</t>
  </si>
  <si>
    <t># payments</t>
  </si>
  <si>
    <t>why 192?  There are 16 years (as the question states, payments start at the end of the month i.e. in year 0)</t>
  </si>
  <si>
    <t>monthly rate from APR</t>
  </si>
  <si>
    <t>gr</t>
  </si>
  <si>
    <t>For the growing plan, have to use the growing annuity formula (see below)</t>
  </si>
  <si>
    <t>p1</t>
  </si>
  <si>
    <t>p2</t>
  </si>
  <si>
    <t>p3</t>
  </si>
  <si>
    <t>(1+g)/(1+r)^n</t>
  </si>
  <si>
    <t>1-number above</t>
  </si>
  <si>
    <t>pmt</t>
  </si>
  <si>
    <t>Correct</t>
  </si>
  <si>
    <t>r-g</t>
  </si>
  <si>
    <t>Use Formula from Class to Calculate IRR</t>
  </si>
  <si>
    <t>Cannot use IRR formula in Excel for half-year periods</t>
  </si>
  <si>
    <t>Delay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</si>
</sst>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0.0%"/>
    <numFmt numFmtId="168" formatCode="&quot;$&quot;#,##0.00"/>
    <numFmt numFmtId="169" formatCode="_-&quot;$&quot;* #,##0.0_-;\-&quot;$&quot;* #,##0.0_-;_-&quot;$&quot;* &quot;-&quot;??_-;_-@_-"/>
    <numFmt numFmtId="170" formatCode="0_);\(0\)"/>
    <numFmt numFmtId="171" formatCode="0.0000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9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3">
    <xf numFmtId="0" fontId="0" fillId="0" borderId="0" xfId="0"/>
    <xf numFmtId="0" fontId="7" fillId="0" borderId="0" xfId="0" applyFont="1"/>
    <xf numFmtId="164" fontId="0" fillId="0" borderId="0" xfId="0" applyNumberFormat="1"/>
    <xf numFmtId="0" fontId="0" fillId="0" borderId="0" xfId="0" applyFont="1"/>
    <xf numFmtId="167" fontId="0" fillId="0" borderId="0" xfId="0" applyNumberFormat="1"/>
    <xf numFmtId="0" fontId="0" fillId="2" borderId="0" xfId="0" applyFont="1" applyFill="1"/>
    <xf numFmtId="10" fontId="4" fillId="2" borderId="0" xfId="1" applyNumberFormat="1" applyFont="1" applyFill="1"/>
    <xf numFmtId="0" fontId="0" fillId="2" borderId="0" xfId="0" applyFill="1"/>
    <xf numFmtId="169" fontId="0" fillId="0" borderId="0" xfId="2" applyNumberFormat="1" applyFont="1"/>
    <xf numFmtId="169" fontId="0" fillId="2" borderId="0" xfId="2" applyNumberFormat="1" applyFont="1" applyFill="1"/>
    <xf numFmtId="167" fontId="0" fillId="2" borderId="0" xfId="0" applyNumberFormat="1" applyFill="1"/>
    <xf numFmtId="0" fontId="3" fillId="0" borderId="0" xfId="8"/>
    <xf numFmtId="8" fontId="3" fillId="0" borderId="0" xfId="8" applyNumberFormat="1"/>
    <xf numFmtId="10" fontId="0" fillId="0" borderId="0" xfId="9" applyNumberFormat="1" applyFont="1"/>
    <xf numFmtId="9" fontId="3" fillId="0" borderId="0" xfId="8" applyNumberFormat="1"/>
    <xf numFmtId="6" fontId="3" fillId="0" borderId="0" xfId="8" applyNumberFormat="1"/>
    <xf numFmtId="0" fontId="3" fillId="0" borderId="0" xfId="8" applyFont="1"/>
    <xf numFmtId="168" fontId="0" fillId="3" borderId="0" xfId="10" applyNumberFormat="1" applyFont="1" applyFill="1" applyAlignment="1">
      <alignment horizontal="center"/>
    </xf>
    <xf numFmtId="168" fontId="0" fillId="4" borderId="1" xfId="10" applyNumberFormat="1" applyFont="1" applyFill="1" applyBorder="1" applyAlignment="1">
      <alignment horizontal="center"/>
    </xf>
    <xf numFmtId="0" fontId="3" fillId="0" borderId="0" xfId="8" applyFont="1" applyAlignment="1">
      <alignment horizontal="left" vertical="center" wrapText="1"/>
    </xf>
    <xf numFmtId="168" fontId="0" fillId="0" borderId="0" xfId="10" applyNumberFormat="1" applyFont="1" applyAlignment="1">
      <alignment horizontal="center"/>
    </xf>
    <xf numFmtId="168" fontId="0" fillId="4" borderId="0" xfId="10" applyNumberFormat="1" applyFont="1" applyFill="1" applyAlignment="1">
      <alignment horizontal="center"/>
    </xf>
    <xf numFmtId="0" fontId="3" fillId="0" borderId="0" xfId="8" applyFont="1" applyAlignment="1">
      <alignment horizontal="left" wrapText="1"/>
    </xf>
    <xf numFmtId="0" fontId="3" fillId="0" borderId="0" xfId="8" applyFont="1" applyAlignment="1">
      <alignment horizontal="left" vertical="center"/>
    </xf>
    <xf numFmtId="2" fontId="3" fillId="0" borderId="0" xfId="8" applyNumberFormat="1" applyFont="1"/>
    <xf numFmtId="9" fontId="3" fillId="0" borderId="0" xfId="8" applyNumberFormat="1" applyFont="1"/>
    <xf numFmtId="2" fontId="3" fillId="0" borderId="0" xfId="8" applyNumberFormat="1" applyFont="1" applyAlignment="1">
      <alignment horizontal="center" vertical="center"/>
    </xf>
    <xf numFmtId="9" fontId="0" fillId="0" borderId="0" xfId="9" applyFon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3" fillId="5" borderId="1" xfId="8" applyFont="1" applyFill="1" applyBorder="1" applyAlignment="1">
      <alignment horizontal="center" vertical="center" wrapText="1"/>
    </xf>
    <xf numFmtId="10" fontId="3" fillId="0" borderId="0" xfId="8" applyNumberFormat="1"/>
    <xf numFmtId="0" fontId="3" fillId="0" borderId="0" xfId="8" applyAlignment="1">
      <alignment horizontal="center"/>
    </xf>
    <xf numFmtId="9" fontId="3" fillId="6" borderId="0" xfId="8" applyNumberFormat="1" applyFill="1" applyAlignment="1">
      <alignment horizontal="center"/>
    </xf>
    <xf numFmtId="0" fontId="3" fillId="6" borderId="0" xfId="8" applyFill="1"/>
    <xf numFmtId="2" fontId="3" fillId="7" borderId="0" xfId="8" applyNumberFormat="1" applyFill="1" applyAlignment="1">
      <alignment horizontal="center"/>
    </xf>
    <xf numFmtId="0" fontId="3" fillId="7" borderId="0" xfId="8" applyFill="1"/>
    <xf numFmtId="0" fontId="3" fillId="7" borderId="0" xfId="8" applyFill="1" applyBorder="1"/>
    <xf numFmtId="2" fontId="3" fillId="2" borderId="0" xfId="8" applyNumberFormat="1" applyFill="1" applyAlignment="1">
      <alignment horizontal="center"/>
    </xf>
    <xf numFmtId="0" fontId="3" fillId="2" borderId="0" xfId="8" applyFill="1" applyBorder="1"/>
    <xf numFmtId="2" fontId="3" fillId="0" borderId="1" xfId="8" applyNumberFormat="1" applyBorder="1" applyAlignment="1">
      <alignment horizontal="center"/>
    </xf>
    <xf numFmtId="0" fontId="3" fillId="0" borderId="1" xfId="8" applyBorder="1"/>
    <xf numFmtId="2" fontId="3" fillId="0" borderId="0" xfId="8" applyNumberFormat="1" applyAlignment="1">
      <alignment horizontal="center"/>
    </xf>
    <xf numFmtId="0" fontId="3" fillId="5" borderId="1" xfId="8" applyFill="1" applyBorder="1" applyAlignment="1">
      <alignment horizontal="center"/>
    </xf>
    <xf numFmtId="2" fontId="3" fillId="0" borderId="0" xfId="8" applyNumberFormat="1"/>
    <xf numFmtId="0" fontId="3" fillId="0" borderId="1" xfId="8" applyBorder="1" applyAlignment="1">
      <alignment horizontal="center"/>
    </xf>
    <xf numFmtId="0" fontId="3" fillId="0" borderId="0" xfId="8" applyFill="1"/>
    <xf numFmtId="167" fontId="0" fillId="0" borderId="0" xfId="9" applyNumberFormat="1" applyFont="1" applyFill="1"/>
    <xf numFmtId="0" fontId="12" fillId="0" borderId="0" xfId="0" applyFont="1"/>
    <xf numFmtId="0" fontId="13" fillId="0" borderId="0" xfId="0" applyFont="1"/>
    <xf numFmtId="164" fontId="13" fillId="0" borderId="0" xfId="0" applyNumberFormat="1" applyFont="1"/>
    <xf numFmtId="9" fontId="13" fillId="0" borderId="0" xfId="0" applyNumberFormat="1" applyFont="1"/>
    <xf numFmtId="0" fontId="13" fillId="2" borderId="0" xfId="0" applyFont="1" applyFill="1"/>
    <xf numFmtId="164" fontId="13" fillId="2" borderId="0" xfId="0" applyNumberFormat="1" applyFont="1" applyFill="1"/>
    <xf numFmtId="168" fontId="13" fillId="0" borderId="0" xfId="2" applyNumberFormat="1" applyFont="1"/>
    <xf numFmtId="168" fontId="13" fillId="0" borderId="0" xfId="0" applyNumberFormat="1" applyFont="1"/>
    <xf numFmtId="168" fontId="13" fillId="2" borderId="0" xfId="2" applyNumberFormat="1" applyFont="1" applyFill="1" applyAlignment="1">
      <alignment horizontal="right" vertical="top"/>
    </xf>
    <xf numFmtId="10" fontId="13" fillId="0" borderId="0" xfId="1" applyNumberFormat="1" applyFont="1"/>
    <xf numFmtId="165" fontId="13" fillId="2" borderId="0" xfId="0" applyNumberFormat="1" applyFont="1" applyFill="1"/>
    <xf numFmtId="165" fontId="13" fillId="0" borderId="0" xfId="0" applyNumberFormat="1" applyFont="1"/>
    <xf numFmtId="167" fontId="13" fillId="0" borderId="0" xfId="0" applyNumberFormat="1" applyFont="1"/>
    <xf numFmtId="168" fontId="13" fillId="2" borderId="0" xfId="2" applyNumberFormat="1" applyFont="1" applyFill="1"/>
    <xf numFmtId="0" fontId="2" fillId="0" borderId="0" xfId="8" applyFont="1"/>
    <xf numFmtId="8" fontId="0" fillId="0" borderId="0" xfId="0" applyNumberFormat="1"/>
    <xf numFmtId="0" fontId="2" fillId="8" borderId="0" xfId="8" applyFont="1" applyFill="1"/>
    <xf numFmtId="8" fontId="3" fillId="8" borderId="0" xfId="8" applyNumberFormat="1" applyFont="1" applyFill="1"/>
    <xf numFmtId="0" fontId="3" fillId="8" borderId="0" xfId="8" applyFont="1" applyFill="1"/>
    <xf numFmtId="8" fontId="11" fillId="8" borderId="0" xfId="8" applyNumberFormat="1" applyFont="1" applyFill="1"/>
    <xf numFmtId="0" fontId="1" fillId="0" borderId="0" xfId="8" applyFont="1"/>
    <xf numFmtId="0" fontId="1" fillId="0" borderId="0" xfId="8" applyFont="1" applyAlignment="1">
      <alignment horizontal="center"/>
    </xf>
    <xf numFmtId="9" fontId="3" fillId="0" borderId="0" xfId="1" applyFont="1"/>
    <xf numFmtId="166" fontId="3" fillId="0" borderId="0" xfId="2" applyFont="1" applyAlignment="1">
      <alignment horizontal="center"/>
    </xf>
    <xf numFmtId="166" fontId="3" fillId="0" borderId="0" xfId="2" applyFont="1"/>
    <xf numFmtId="166" fontId="3" fillId="2" borderId="0" xfId="2" applyFont="1" applyFill="1"/>
    <xf numFmtId="0" fontId="11" fillId="0" borderId="0" xfId="8" applyFont="1"/>
    <xf numFmtId="170" fontId="3" fillId="0" borderId="0" xfId="2" applyNumberFormat="1" applyFont="1" applyAlignment="1">
      <alignment horizontal="center"/>
    </xf>
    <xf numFmtId="166" fontId="3" fillId="2" borderId="0" xfId="2" applyFont="1" applyFill="1" applyAlignment="1">
      <alignment horizontal="center"/>
    </xf>
    <xf numFmtId="171" fontId="0" fillId="0" borderId="0" xfId="0" applyNumberFormat="1"/>
    <xf numFmtId="167" fontId="0" fillId="0" borderId="0" xfId="1" applyNumberFormat="1" applyFont="1"/>
    <xf numFmtId="10" fontId="0" fillId="0" borderId="0" xfId="1" applyNumberFormat="1" applyFont="1"/>
    <xf numFmtId="166" fontId="0" fillId="0" borderId="0" xfId="2" applyFont="1"/>
    <xf numFmtId="38" fontId="0" fillId="0" borderId="0" xfId="0" applyNumberFormat="1"/>
    <xf numFmtId="166" fontId="0" fillId="0" borderId="0" xfId="0" applyNumberFormat="1"/>
    <xf numFmtId="44" fontId="0" fillId="0" borderId="0" xfId="0" applyNumberFormat="1"/>
    <xf numFmtId="166" fontId="0" fillId="0" borderId="0" xfId="2" applyNumberFormat="1" applyFont="1"/>
    <xf numFmtId="10" fontId="13" fillId="0" borderId="0" xfId="0" applyNumberFormat="1" applyFont="1"/>
    <xf numFmtId="10" fontId="0" fillId="0" borderId="0" xfId="0" applyNumberFormat="1"/>
    <xf numFmtId="0" fontId="0" fillId="0" borderId="0" xfId="0" applyFill="1"/>
    <xf numFmtId="0" fontId="12" fillId="0" borderId="0" xfId="0" applyFont="1" applyFill="1"/>
    <xf numFmtId="0" fontId="13" fillId="0" borderId="0" xfId="0" applyFont="1" applyFill="1"/>
    <xf numFmtId="168" fontId="13" fillId="0" borderId="0" xfId="2" applyNumberFormat="1" applyFont="1" applyFill="1" applyAlignment="1">
      <alignment horizontal="right" vertical="top"/>
    </xf>
    <xf numFmtId="10" fontId="13" fillId="0" borderId="0" xfId="1" applyNumberFormat="1" applyFont="1" applyFill="1"/>
    <xf numFmtId="165" fontId="13" fillId="0" borderId="0" xfId="0" applyNumberFormat="1" applyFont="1" applyFill="1"/>
    <xf numFmtId="167" fontId="13" fillId="0" borderId="0" xfId="0" applyNumberFormat="1" applyFont="1" applyFill="1"/>
    <xf numFmtId="168" fontId="13" fillId="0" borderId="0" xfId="2" applyNumberFormat="1" applyFont="1" applyFill="1"/>
    <xf numFmtId="0" fontId="7" fillId="0" borderId="0" xfId="0" applyFont="1" applyFill="1"/>
    <xf numFmtId="0" fontId="0" fillId="0" borderId="0" xfId="0" applyFont="1" applyFill="1"/>
    <xf numFmtId="164" fontId="0" fillId="0" borderId="0" xfId="0" applyNumberFormat="1" applyFill="1"/>
    <xf numFmtId="10" fontId="4" fillId="0" borderId="0" xfId="1" applyNumberFormat="1" applyFont="1" applyFill="1"/>
    <xf numFmtId="169" fontId="0" fillId="0" borderId="0" xfId="2" applyNumberFormat="1" applyFont="1" applyFill="1"/>
    <xf numFmtId="167" fontId="0" fillId="0" borderId="0" xfId="0" applyNumberFormat="1" applyFill="1"/>
    <xf numFmtId="0" fontId="3" fillId="0" borderId="0" xfId="8" applyFont="1" applyAlignment="1">
      <alignment horizontal="left" wrapText="1"/>
    </xf>
    <xf numFmtId="0" fontId="3" fillId="0" borderId="0" xfId="8" applyFont="1" applyAlignment="1">
      <alignment horizontal="left" vertical="center" wrapText="1"/>
    </xf>
  </cellXfs>
  <cellStyles count="11">
    <cellStyle name="Currency" xfId="2" builtinId="4"/>
    <cellStyle name="Currency 2" xfId="4" xr:uid="{00000000-0005-0000-0000-000001000000}"/>
    <cellStyle name="Currency 3" xfId="10" xr:uid="{00000000-0005-0000-0000-000002000000}"/>
    <cellStyle name="Followed Hyperlink" xfId="7" builtinId="9" hidden="1"/>
    <cellStyle name="Hyperlink" xfId="6" builtinId="8" hidden="1"/>
    <cellStyle name="Normal" xfId="0" builtinId="0"/>
    <cellStyle name="Normal 2" xfId="3" xr:uid="{00000000-0005-0000-0000-000006000000}"/>
    <cellStyle name="Normal 3" xfId="8" xr:uid="{00000000-0005-0000-0000-000007000000}"/>
    <cellStyle name="Percent" xfId="1" builtinId="5"/>
    <cellStyle name="Percent 2" xfId="5" xr:uid="{00000000-0005-0000-0000-000009000000}"/>
    <cellStyle name="Percent 3" xfId="9" xr:uid="{00000000-0005-0000-0000-00000A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182880</xdr:colOff>
      <xdr:row>13</xdr:row>
      <xdr:rowOff>26670</xdr:rowOff>
    </xdr:from>
    <xdr:to>
      <xdr:col>12</xdr:col>
      <xdr:colOff>182667</xdr:colOff>
      <xdr:row>22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0B9E6-D693-49B9-BEA5-8D0F5119ED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553"/>
        <a:stretch/>
      </xdr:blipFill>
      <xdr:spPr>
        <a:xfrm>
          <a:off x="8183880" y="2602230"/>
          <a:ext cx="2483907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5436-DFAD-4D9D-8010-73D17386C49C}">
  <dimension ref="B2:I56"/>
  <sheetViews>
    <sheetView tabSelected="1" zoomScale="115" zoomScaleNormal="115" workbookViewId="0">
      <selection activeCell="A12" sqref="A12"/>
    </sheetView>
  </sheetViews>
  <sheetFormatPr defaultColWidth="7.69921875" defaultRowHeight="14.4" x14ac:dyDescent="0.3"/>
  <cols>
    <col min="1" max="1" width="7.69921875" style="11"/>
    <col min="2" max="2" width="28.59765625" style="11" bestFit="1" customWidth="1"/>
    <col min="3" max="16384" width="7.69921875" style="11"/>
  </cols>
  <sheetData>
    <row r="2" spans="2:9" x14ac:dyDescent="0.3">
      <c r="B2" s="74" t="s">
        <v>85</v>
      </c>
    </row>
    <row r="4" spans="2:9" x14ac:dyDescent="0.3">
      <c r="C4" s="32"/>
      <c r="D4" s="32"/>
      <c r="E4" s="32"/>
      <c r="F4" s="32"/>
      <c r="G4" s="32"/>
      <c r="H4" s="32"/>
    </row>
    <row r="5" spans="2:9" x14ac:dyDescent="0.3">
      <c r="B5" s="11" t="s">
        <v>28</v>
      </c>
      <c r="C5" s="71">
        <v>60</v>
      </c>
      <c r="D5" s="71"/>
      <c r="E5" s="71"/>
      <c r="F5" s="71"/>
      <c r="G5" s="71"/>
      <c r="H5" s="32"/>
    </row>
    <row r="6" spans="2:9" x14ac:dyDescent="0.3">
      <c r="B6" s="11" t="s">
        <v>62</v>
      </c>
      <c r="C6" s="71"/>
      <c r="D6" s="71">
        <f>+$C$5/6</f>
        <v>10</v>
      </c>
      <c r="E6" s="71">
        <f>+$C$5/6</f>
        <v>10</v>
      </c>
      <c r="F6" s="71">
        <f>+$C$5/6</f>
        <v>10</v>
      </c>
      <c r="G6" s="71">
        <f>+$C$5/6</f>
        <v>10</v>
      </c>
      <c r="H6" s="32"/>
    </row>
    <row r="7" spans="2:9" x14ac:dyDescent="0.3">
      <c r="B7" s="11" t="s">
        <v>66</v>
      </c>
      <c r="C7" s="71">
        <f>+C5</f>
        <v>60</v>
      </c>
      <c r="D7" s="71">
        <f>+C7-D6</f>
        <v>50</v>
      </c>
      <c r="E7" s="71">
        <f>+D7-E6</f>
        <v>40</v>
      </c>
      <c r="F7" s="71">
        <f>+E7-F6</f>
        <v>30</v>
      </c>
      <c r="G7" s="71">
        <f>+F7-G6</f>
        <v>20</v>
      </c>
      <c r="H7" s="32"/>
      <c r="I7" s="68" t="s">
        <v>90</v>
      </c>
    </row>
    <row r="8" spans="2:9" x14ac:dyDescent="0.3">
      <c r="B8" s="68" t="s">
        <v>86</v>
      </c>
      <c r="C8" s="72"/>
      <c r="D8" s="72"/>
      <c r="E8" s="72"/>
      <c r="F8" s="72"/>
      <c r="G8" s="72">
        <v>25</v>
      </c>
      <c r="H8" s="32"/>
      <c r="I8" s="68" t="s">
        <v>91</v>
      </c>
    </row>
    <row r="9" spans="2:9" x14ac:dyDescent="0.3">
      <c r="B9" s="68" t="s">
        <v>87</v>
      </c>
      <c r="C9" s="72"/>
      <c r="D9" s="72"/>
      <c r="E9" s="72"/>
      <c r="F9" s="72"/>
      <c r="G9" s="72">
        <f>G8-G7</f>
        <v>5</v>
      </c>
      <c r="H9" s="69" t="s">
        <v>89</v>
      </c>
      <c r="I9" s="68" t="s">
        <v>92</v>
      </c>
    </row>
    <row r="10" spans="2:9" x14ac:dyDescent="0.3">
      <c r="B10" s="68" t="s">
        <v>88</v>
      </c>
      <c r="C10" s="71"/>
      <c r="D10" s="71"/>
      <c r="E10" s="71"/>
      <c r="F10" s="71"/>
      <c r="G10" s="71">
        <f>G9*H10</f>
        <v>1.5</v>
      </c>
      <c r="H10" s="70">
        <v>0.3</v>
      </c>
      <c r="I10" s="68" t="s">
        <v>93</v>
      </c>
    </row>
    <row r="11" spans="2:9" x14ac:dyDescent="0.3">
      <c r="B11" s="11" t="s">
        <v>65</v>
      </c>
      <c r="C11" s="72"/>
      <c r="D11" s="72"/>
      <c r="E11" s="72"/>
      <c r="F11" s="72"/>
      <c r="G11" s="73">
        <f>G9-G10</f>
        <v>3.5</v>
      </c>
      <c r="I11" s="68" t="s">
        <v>94</v>
      </c>
    </row>
    <row r="12" spans="2:9" x14ac:dyDescent="0.3">
      <c r="C12" s="31"/>
      <c r="D12" s="12"/>
    </row>
    <row r="13" spans="2:9" x14ac:dyDescent="0.3">
      <c r="C13" s="31"/>
      <c r="D13" s="12"/>
    </row>
    <row r="14" spans="2:9" x14ac:dyDescent="0.3">
      <c r="C14" s="31"/>
      <c r="D14" s="12"/>
    </row>
    <row r="15" spans="2:9" x14ac:dyDescent="0.3">
      <c r="C15" s="31"/>
      <c r="D15" s="12"/>
    </row>
    <row r="16" spans="2:9" x14ac:dyDescent="0.3">
      <c r="C16" s="31"/>
      <c r="D16" s="12"/>
    </row>
    <row r="17" spans="3:4" x14ac:dyDescent="0.3">
      <c r="C17" s="31"/>
      <c r="D17" s="12"/>
    </row>
    <row r="18" spans="3:4" x14ac:dyDescent="0.3">
      <c r="C18" s="31"/>
      <c r="D18" s="12"/>
    </row>
    <row r="19" spans="3:4" x14ac:dyDescent="0.3">
      <c r="C19" s="31"/>
      <c r="D19" s="12"/>
    </row>
    <row r="20" spans="3:4" x14ac:dyDescent="0.3">
      <c r="C20" s="31"/>
      <c r="D20" s="12"/>
    </row>
    <row r="21" spans="3:4" x14ac:dyDescent="0.3">
      <c r="C21" s="31"/>
      <c r="D21" s="12"/>
    </row>
    <row r="22" spans="3:4" x14ac:dyDescent="0.3">
      <c r="C22" s="31"/>
      <c r="D22" s="12"/>
    </row>
    <row r="23" spans="3:4" x14ac:dyDescent="0.3">
      <c r="C23" s="31"/>
      <c r="D23" s="12"/>
    </row>
    <row r="24" spans="3:4" x14ac:dyDescent="0.3">
      <c r="C24" s="31"/>
      <c r="D24" s="12"/>
    </row>
    <row r="25" spans="3:4" x14ac:dyDescent="0.3">
      <c r="C25" s="31"/>
      <c r="D25" s="12"/>
    </row>
    <row r="26" spans="3:4" x14ac:dyDescent="0.3">
      <c r="C26" s="31"/>
      <c r="D26" s="12"/>
    </row>
    <row r="27" spans="3:4" x14ac:dyDescent="0.3">
      <c r="C27" s="31"/>
      <c r="D27" s="12"/>
    </row>
    <row r="28" spans="3:4" x14ac:dyDescent="0.3">
      <c r="C28" s="31"/>
      <c r="D28" s="12"/>
    </row>
    <row r="29" spans="3:4" x14ac:dyDescent="0.3">
      <c r="C29" s="31"/>
      <c r="D29" s="12"/>
    </row>
    <row r="30" spans="3:4" x14ac:dyDescent="0.3">
      <c r="C30" s="31"/>
      <c r="D30" s="12"/>
    </row>
    <row r="31" spans="3:4" x14ac:dyDescent="0.3">
      <c r="C31" s="31"/>
      <c r="D31" s="12"/>
    </row>
    <row r="32" spans="3:4" x14ac:dyDescent="0.3">
      <c r="C32" s="31"/>
      <c r="D32" s="12"/>
    </row>
    <row r="33" spans="3:4" x14ac:dyDescent="0.3">
      <c r="C33" s="31"/>
      <c r="D33" s="12"/>
    </row>
    <row r="34" spans="3:4" x14ac:dyDescent="0.3">
      <c r="C34" s="31"/>
      <c r="D34" s="12"/>
    </row>
    <row r="35" spans="3:4" x14ac:dyDescent="0.3">
      <c r="C35" s="31"/>
      <c r="D35" s="12"/>
    </row>
    <row r="36" spans="3:4" x14ac:dyDescent="0.3">
      <c r="C36" s="31"/>
      <c r="D36" s="12"/>
    </row>
    <row r="37" spans="3:4" x14ac:dyDescent="0.3">
      <c r="C37" s="31"/>
      <c r="D37" s="12"/>
    </row>
    <row r="38" spans="3:4" x14ac:dyDescent="0.3">
      <c r="C38" s="31"/>
      <c r="D38" s="12"/>
    </row>
    <row r="39" spans="3:4" x14ac:dyDescent="0.3">
      <c r="C39" s="31"/>
      <c r="D39" s="12"/>
    </row>
    <row r="40" spans="3:4" x14ac:dyDescent="0.3">
      <c r="C40" s="31"/>
      <c r="D40" s="12"/>
    </row>
    <row r="41" spans="3:4" x14ac:dyDescent="0.3">
      <c r="C41" s="31"/>
      <c r="D41" s="12"/>
    </row>
    <row r="42" spans="3:4" x14ac:dyDescent="0.3">
      <c r="C42" s="31"/>
      <c r="D42" s="12"/>
    </row>
    <row r="43" spans="3:4" x14ac:dyDescent="0.3">
      <c r="C43" s="31"/>
      <c r="D43" s="12"/>
    </row>
    <row r="44" spans="3:4" x14ac:dyDescent="0.3">
      <c r="C44" s="31"/>
      <c r="D44" s="12"/>
    </row>
    <row r="45" spans="3:4" x14ac:dyDescent="0.3">
      <c r="C45" s="31"/>
      <c r="D45" s="12"/>
    </row>
    <row r="46" spans="3:4" x14ac:dyDescent="0.3">
      <c r="C46" s="31"/>
      <c r="D46" s="12"/>
    </row>
    <row r="47" spans="3:4" x14ac:dyDescent="0.3">
      <c r="C47" s="31"/>
      <c r="D47" s="12"/>
    </row>
    <row r="48" spans="3:4" x14ac:dyDescent="0.3">
      <c r="C48" s="31"/>
      <c r="D48" s="12"/>
    </row>
    <row r="49" spans="3:4" x14ac:dyDescent="0.3">
      <c r="C49" s="31"/>
      <c r="D49" s="12"/>
    </row>
    <row r="50" spans="3:4" x14ac:dyDescent="0.3">
      <c r="C50" s="31"/>
      <c r="D50" s="12"/>
    </row>
    <row r="51" spans="3:4" x14ac:dyDescent="0.3">
      <c r="C51" s="31"/>
      <c r="D51" s="12"/>
    </row>
    <row r="52" spans="3:4" x14ac:dyDescent="0.3">
      <c r="C52" s="31"/>
      <c r="D52" s="12"/>
    </row>
    <row r="53" spans="3:4" x14ac:dyDescent="0.3">
      <c r="C53" s="31"/>
      <c r="D53" s="12"/>
    </row>
    <row r="54" spans="3:4" x14ac:dyDescent="0.3">
      <c r="C54" s="31"/>
      <c r="D54" s="12"/>
    </row>
    <row r="55" spans="3:4" x14ac:dyDescent="0.3">
      <c r="C55" s="31"/>
      <c r="D55" s="12"/>
    </row>
    <row r="56" spans="3:4" x14ac:dyDescent="0.3">
      <c r="C56" s="31"/>
      <c r="D56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2"/>
  <sheetViews>
    <sheetView zoomScale="115" zoomScaleNormal="115" zoomScalePageLayoutView="130" workbookViewId="0">
      <selection activeCell="K18" sqref="K18"/>
    </sheetView>
  </sheetViews>
  <sheetFormatPr defaultColWidth="8" defaultRowHeight="14.4" x14ac:dyDescent="0.3"/>
  <cols>
    <col min="1" max="6" width="8" style="16"/>
    <col min="7" max="7" width="9.8984375" style="16" customWidth="1"/>
    <col min="8" max="9" width="9.59765625" style="16" customWidth="1"/>
    <col min="10" max="16384" width="8" style="16"/>
  </cols>
  <sheetData>
    <row r="3" spans="1:10" ht="28.8" x14ac:dyDescent="0.3">
      <c r="C3" s="30" t="s">
        <v>22</v>
      </c>
      <c r="D3" s="30" t="s">
        <v>58</v>
      </c>
      <c r="E3" s="30" t="s">
        <v>57</v>
      </c>
      <c r="F3" s="30" t="s">
        <v>56</v>
      </c>
      <c r="G3" s="30" t="s">
        <v>55</v>
      </c>
      <c r="H3" s="62"/>
    </row>
    <row r="4" spans="1:10" x14ac:dyDescent="0.3">
      <c r="C4" s="29">
        <v>0</v>
      </c>
      <c r="D4" s="29"/>
      <c r="E4" s="26"/>
      <c r="F4" s="29"/>
      <c r="G4" s="26"/>
    </row>
    <row r="5" spans="1:10" ht="15.6" x14ac:dyDescent="0.3">
      <c r="B5" s="25"/>
      <c r="C5" s="29">
        <f t="shared" ref="C5:C10" si="0">1+C4</f>
        <v>1</v>
      </c>
      <c r="D5" s="26">
        <v>44</v>
      </c>
      <c r="E5" s="28">
        <v>0.13200000000000001</v>
      </c>
      <c r="F5" s="27">
        <v>0.4</v>
      </c>
      <c r="G5" s="26">
        <f t="shared" ref="G5:G10" si="1">+F5*D5</f>
        <v>17.600000000000001</v>
      </c>
    </row>
    <row r="6" spans="1:10" ht="15.6" x14ac:dyDescent="0.3">
      <c r="C6" s="29">
        <f t="shared" si="0"/>
        <v>2</v>
      </c>
      <c r="D6" s="26">
        <f>+D5*(1+E6)</f>
        <v>49.808000000000007</v>
      </c>
      <c r="E6" s="28">
        <v>0.13200000000000001</v>
      </c>
      <c r="F6" s="27">
        <v>0.4</v>
      </c>
      <c r="G6" s="26">
        <f t="shared" si="1"/>
        <v>19.923200000000005</v>
      </c>
    </row>
    <row r="7" spans="1:10" ht="15.6" x14ac:dyDescent="0.3">
      <c r="C7" s="29">
        <f t="shared" si="0"/>
        <v>3</v>
      </c>
      <c r="D7" s="26">
        <f>+D6*(1+E7)</f>
        <v>56.382656000000011</v>
      </c>
      <c r="E7" s="28">
        <v>0.13200000000000001</v>
      </c>
      <c r="F7" s="27">
        <v>0.4</v>
      </c>
      <c r="G7" s="26">
        <f t="shared" si="1"/>
        <v>22.553062400000005</v>
      </c>
    </row>
    <row r="8" spans="1:10" ht="15.6" x14ac:dyDescent="0.3">
      <c r="C8" s="29">
        <f t="shared" si="0"/>
        <v>4</v>
      </c>
      <c r="D8" s="26">
        <f>+D7*(1+E8)</f>
        <v>63.825166592000016</v>
      </c>
      <c r="E8" s="28">
        <v>0.13200000000000001</v>
      </c>
      <c r="F8" s="27">
        <v>0.4</v>
      </c>
      <c r="G8" s="26">
        <f t="shared" si="1"/>
        <v>25.530066636800008</v>
      </c>
    </row>
    <row r="9" spans="1:10" ht="15.6" x14ac:dyDescent="0.3">
      <c r="C9" s="29">
        <f t="shared" si="0"/>
        <v>5</v>
      </c>
      <c r="D9" s="26">
        <v>16.420000000000002</v>
      </c>
      <c r="E9" s="28">
        <v>0.03</v>
      </c>
      <c r="F9" s="27">
        <v>0.8</v>
      </c>
      <c r="G9" s="26">
        <f t="shared" si="1"/>
        <v>13.136000000000003</v>
      </c>
    </row>
    <row r="10" spans="1:10" ht="15.6" x14ac:dyDescent="0.3">
      <c r="B10" s="25"/>
      <c r="C10" s="29">
        <f t="shared" si="0"/>
        <v>6</v>
      </c>
      <c r="D10" s="26">
        <f>+D9*(1+E10)</f>
        <v>16.912600000000001</v>
      </c>
      <c r="E10" s="28">
        <v>0.03</v>
      </c>
      <c r="F10" s="27">
        <v>0.8</v>
      </c>
      <c r="G10" s="26">
        <f t="shared" si="1"/>
        <v>13.530080000000002</v>
      </c>
    </row>
    <row r="11" spans="1:10" x14ac:dyDescent="0.3">
      <c r="D11" s="25"/>
      <c r="E11" s="25"/>
      <c r="F11" s="24"/>
      <c r="G11" s="24"/>
      <c r="H11" s="24"/>
      <c r="I11" s="24"/>
      <c r="J11" s="24"/>
    </row>
    <row r="12" spans="1:10" x14ac:dyDescent="0.3">
      <c r="B12" s="16" t="s">
        <v>54</v>
      </c>
      <c r="D12" s="25">
        <v>0.18</v>
      </c>
      <c r="E12" s="25"/>
      <c r="F12" s="24"/>
      <c r="G12" s="24"/>
      <c r="H12" s="24"/>
      <c r="I12" s="24"/>
      <c r="J12" s="24"/>
    </row>
    <row r="14" spans="1:10" ht="15.6" x14ac:dyDescent="0.3">
      <c r="A14" s="16" t="s">
        <v>53</v>
      </c>
      <c r="B14" s="23" t="s">
        <v>52</v>
      </c>
      <c r="F14" s="20">
        <f>+G5</f>
        <v>17.600000000000001</v>
      </c>
    </row>
    <row r="15" spans="1:10" ht="15.6" x14ac:dyDescent="0.3">
      <c r="A15" s="16" t="s">
        <v>51</v>
      </c>
      <c r="B15" s="23" t="s">
        <v>50</v>
      </c>
      <c r="F15" s="20">
        <f>+G9</f>
        <v>13.136000000000003</v>
      </c>
    </row>
    <row r="16" spans="1:10" ht="15.6" x14ac:dyDescent="0.3">
      <c r="A16" s="16" t="s">
        <v>49</v>
      </c>
      <c r="B16" s="23" t="s">
        <v>48</v>
      </c>
      <c r="F16" s="20">
        <f>+F21</f>
        <v>101.28775176487139</v>
      </c>
    </row>
    <row r="17" spans="2:8" ht="15.6" x14ac:dyDescent="0.3">
      <c r="F17" s="20"/>
      <c r="H17" s="62" t="s">
        <v>83</v>
      </c>
    </row>
    <row r="18" spans="2:8" ht="15.6" x14ac:dyDescent="0.3">
      <c r="B18" s="101" t="s">
        <v>47</v>
      </c>
      <c r="C18" s="101"/>
      <c r="D18" s="101"/>
      <c r="E18" s="22"/>
      <c r="F18" s="21">
        <f>NPV(D12,G5:G8)</f>
        <v>56.118400671565389</v>
      </c>
      <c r="G18" s="64" t="s">
        <v>82</v>
      </c>
      <c r="H18" s="65">
        <f>NPV(D12,G5:G9)</f>
        <v>61.8602673359687</v>
      </c>
    </row>
    <row r="19" spans="2:8" ht="75.599999999999994" customHeight="1" x14ac:dyDescent="0.3">
      <c r="B19" s="102" t="s">
        <v>46</v>
      </c>
      <c r="C19" s="102"/>
      <c r="D19" s="102"/>
      <c r="E19" s="19"/>
      <c r="F19" s="20">
        <f>G9/(D12-E9)</f>
        <v>87.573333333333352</v>
      </c>
      <c r="G19" s="66">
        <f>G10/(D12-E10)</f>
        <v>90.200533333333354</v>
      </c>
      <c r="H19" s="66"/>
    </row>
    <row r="20" spans="2:8" ht="72" customHeight="1" x14ac:dyDescent="0.3">
      <c r="B20" s="102" t="s">
        <v>45</v>
      </c>
      <c r="C20" s="102"/>
      <c r="D20" s="102"/>
      <c r="E20" s="19"/>
      <c r="F20" s="18">
        <f>+F19/(1+D12)^4</f>
        <v>45.169351093306005</v>
      </c>
      <c r="G20" s="66">
        <f>G19/(1+D12)^5</f>
        <v>39.427484428902709</v>
      </c>
      <c r="H20" s="66"/>
    </row>
    <row r="21" spans="2:8" ht="15.6" x14ac:dyDescent="0.3">
      <c r="B21" s="16" t="s">
        <v>44</v>
      </c>
      <c r="F21" s="17">
        <f>+F20+F18</f>
        <v>101.28775176487139</v>
      </c>
      <c r="G21" s="66"/>
      <c r="H21" s="67">
        <f>G20+H18</f>
        <v>101.28775176487142</v>
      </c>
    </row>
    <row r="22" spans="2:8" x14ac:dyDescent="0.3">
      <c r="F22" s="62" t="s">
        <v>84</v>
      </c>
    </row>
  </sheetData>
  <mergeCells count="3">
    <mergeCell ref="B18:D18"/>
    <mergeCell ref="B19:D19"/>
    <mergeCell ref="B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E330-C0AF-4862-B3AB-782476504D25}">
  <dimension ref="A1:J12"/>
  <sheetViews>
    <sheetView zoomScale="160" zoomScaleNormal="160" workbookViewId="0">
      <selection activeCell="D6" sqref="D6"/>
    </sheetView>
  </sheetViews>
  <sheetFormatPr defaultRowHeight="15.6" x14ac:dyDescent="0.3"/>
  <cols>
    <col min="1" max="1" width="11.09765625" bestFit="1" customWidth="1"/>
    <col min="3" max="3" width="8.796875" style="80"/>
    <col min="4" max="4" width="10.69921875" bestFit="1" customWidth="1"/>
    <col min="5" max="5" width="16" bestFit="1" customWidth="1"/>
    <col min="7" max="7" width="14.5" bestFit="1" customWidth="1"/>
  </cols>
  <sheetData>
    <row r="1" spans="1:10" x14ac:dyDescent="0.3">
      <c r="C1" s="80" t="s">
        <v>116</v>
      </c>
      <c r="D1">
        <v>0.18</v>
      </c>
    </row>
    <row r="5" spans="1:10" x14ac:dyDescent="0.3">
      <c r="B5" t="s">
        <v>6</v>
      </c>
      <c r="C5" s="80" t="s">
        <v>133</v>
      </c>
      <c r="D5" t="s">
        <v>4</v>
      </c>
      <c r="E5" t="s">
        <v>135</v>
      </c>
      <c r="F5" t="s">
        <v>136</v>
      </c>
      <c r="G5" t="s">
        <v>137</v>
      </c>
      <c r="H5" t="s">
        <v>138</v>
      </c>
      <c r="I5" t="s">
        <v>77</v>
      </c>
      <c r="J5" t="s">
        <v>139</v>
      </c>
    </row>
    <row r="6" spans="1:10" x14ac:dyDescent="0.3">
      <c r="B6">
        <v>0</v>
      </c>
      <c r="J6" s="80">
        <f>SUM(I7:I11)</f>
        <v>101.2877517648714</v>
      </c>
    </row>
    <row r="7" spans="1:10" x14ac:dyDescent="0.3">
      <c r="B7">
        <f>B6+1</f>
        <v>1</v>
      </c>
      <c r="C7" s="80">
        <v>44</v>
      </c>
      <c r="E7">
        <v>0.6</v>
      </c>
      <c r="F7">
        <f>C7*(1-E7)</f>
        <v>17.600000000000001</v>
      </c>
      <c r="H7">
        <f>SUM(F7:G7)</f>
        <v>17.600000000000001</v>
      </c>
      <c r="I7">
        <f>H7/(1+$D$1)^B7</f>
        <v>14.915254237288137</v>
      </c>
    </row>
    <row r="8" spans="1:10" x14ac:dyDescent="0.3">
      <c r="B8">
        <f t="shared" ref="B8:B12" si="0">B7+1</f>
        <v>2</v>
      </c>
      <c r="C8" s="80">
        <f>C7*(1+D8)</f>
        <v>49.808000000000007</v>
      </c>
      <c r="D8">
        <v>0.13200000000000001</v>
      </c>
      <c r="E8">
        <v>0.6</v>
      </c>
      <c r="F8">
        <f t="shared" ref="F8:F12" si="1">C8*(1-E8)</f>
        <v>19.923200000000005</v>
      </c>
      <c r="H8">
        <f t="shared" ref="H8:H11" si="2">SUM(F8:G8)</f>
        <v>19.923200000000005</v>
      </c>
      <c r="I8">
        <f t="shared" ref="I8:I11" si="3">H8/(1+$D$1)^B8</f>
        <v>14.308532031025573</v>
      </c>
    </row>
    <row r="9" spans="1:10" x14ac:dyDescent="0.3">
      <c r="B9">
        <f t="shared" si="0"/>
        <v>3</v>
      </c>
      <c r="C9" s="80">
        <f t="shared" ref="C9:C10" si="4">C8*(1+D9)</f>
        <v>56.382656000000011</v>
      </c>
      <c r="D9">
        <v>0.13200000000000001</v>
      </c>
      <c r="E9">
        <v>0.6</v>
      </c>
      <c r="F9">
        <f t="shared" si="1"/>
        <v>22.553062400000005</v>
      </c>
      <c r="H9">
        <f t="shared" si="2"/>
        <v>22.553062400000005</v>
      </c>
      <c r="I9">
        <f t="shared" si="3"/>
        <v>13.726490050102498</v>
      </c>
    </row>
    <row r="10" spans="1:10" x14ac:dyDescent="0.3">
      <c r="B10">
        <f t="shared" si="0"/>
        <v>4</v>
      </c>
      <c r="C10" s="80">
        <f t="shared" si="4"/>
        <v>63.825166592000016</v>
      </c>
      <c r="D10">
        <v>0.13200000000000001</v>
      </c>
      <c r="E10">
        <v>0.6</v>
      </c>
      <c r="F10">
        <f t="shared" si="1"/>
        <v>25.530066636800008</v>
      </c>
      <c r="H10">
        <f t="shared" si="2"/>
        <v>25.530066636800008</v>
      </c>
      <c r="I10">
        <f t="shared" si="3"/>
        <v>13.168124353149178</v>
      </c>
    </row>
    <row r="11" spans="1:10" x14ac:dyDescent="0.3">
      <c r="A11" t="s">
        <v>134</v>
      </c>
      <c r="B11">
        <f t="shared" si="0"/>
        <v>5</v>
      </c>
      <c r="C11" s="80">
        <v>16.420000000000002</v>
      </c>
      <c r="E11">
        <v>0.2</v>
      </c>
      <c r="F11">
        <f t="shared" si="1"/>
        <v>13.136000000000003</v>
      </c>
      <c r="G11">
        <f>F12/(D1-D12)</f>
        <v>90.200533333333354</v>
      </c>
      <c r="H11">
        <f t="shared" si="2"/>
        <v>103.33653333333336</v>
      </c>
      <c r="I11">
        <f t="shared" si="3"/>
        <v>45.16935109330602</v>
      </c>
    </row>
    <row r="12" spans="1:10" x14ac:dyDescent="0.3">
      <c r="B12">
        <f t="shared" si="0"/>
        <v>6</v>
      </c>
      <c r="C12" s="80">
        <f>C11*(1+D12)</f>
        <v>16.912600000000001</v>
      </c>
      <c r="D12">
        <v>0.03</v>
      </c>
      <c r="E12">
        <v>0.2</v>
      </c>
      <c r="F12">
        <f t="shared" si="1"/>
        <v>13.530080000000002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2:F18"/>
  <sheetViews>
    <sheetView workbookViewId="0">
      <selection activeCell="A2" sqref="A2:F18"/>
    </sheetView>
  </sheetViews>
  <sheetFormatPr defaultColWidth="11" defaultRowHeight="15.6" x14ac:dyDescent="0.3"/>
  <cols>
    <col min="2" max="3" width="15.09765625" bestFit="1" customWidth="1"/>
    <col min="4" max="5" width="13.8984375" bestFit="1" customWidth="1"/>
  </cols>
  <sheetData>
    <row r="2" spans="1:6" x14ac:dyDescent="0.3">
      <c r="A2" s="1" t="s">
        <v>0</v>
      </c>
      <c r="B2" t="s">
        <v>15</v>
      </c>
      <c r="C2" t="s">
        <v>16</v>
      </c>
      <c r="D2" s="5" t="s">
        <v>17</v>
      </c>
    </row>
    <row r="3" spans="1:6" x14ac:dyDescent="0.3">
      <c r="B3">
        <v>1</v>
      </c>
      <c r="C3" s="2">
        <v>970</v>
      </c>
      <c r="D3" s="6">
        <f>(1000/C3)^(1/B3)-1</f>
        <v>3.0927835051546282E-2</v>
      </c>
    </row>
    <row r="4" spans="1:6" x14ac:dyDescent="0.3">
      <c r="B4">
        <v>1.5</v>
      </c>
      <c r="C4" s="2">
        <v>950</v>
      </c>
      <c r="D4" s="6">
        <f>(1000/C4)^(1/B4)-1</f>
        <v>3.4786918412166745E-2</v>
      </c>
    </row>
    <row r="5" spans="1:6" x14ac:dyDescent="0.3">
      <c r="B5">
        <v>2</v>
      </c>
      <c r="C5" s="2">
        <v>925</v>
      </c>
      <c r="D5" s="6">
        <f>(1000/C5)^(1/B5)-1</f>
        <v>3.9750489820072676E-2</v>
      </c>
    </row>
    <row r="6" spans="1:6" x14ac:dyDescent="0.3">
      <c r="B6">
        <v>2.5</v>
      </c>
      <c r="C6" s="2">
        <v>890</v>
      </c>
      <c r="D6" s="6">
        <f>(1000/C6)^(1/B6)-1</f>
        <v>4.771701596546829E-2</v>
      </c>
    </row>
    <row r="8" spans="1:6" x14ac:dyDescent="0.3">
      <c r="A8" s="1" t="s">
        <v>2</v>
      </c>
      <c r="B8" t="s">
        <v>22</v>
      </c>
      <c r="C8" t="s">
        <v>20</v>
      </c>
      <c r="D8" t="s">
        <v>9</v>
      </c>
      <c r="E8" t="s">
        <v>21</v>
      </c>
      <c r="F8" t="s">
        <v>9</v>
      </c>
    </row>
    <row r="9" spans="1:6" x14ac:dyDescent="0.3">
      <c r="B9">
        <v>0</v>
      </c>
    </row>
    <row r="10" spans="1:6" x14ac:dyDescent="0.3">
      <c r="B10">
        <v>1</v>
      </c>
      <c r="C10">
        <v>-500</v>
      </c>
      <c r="D10">
        <f>C10/(1+D3)^B10</f>
        <v>-485.00000000000006</v>
      </c>
      <c r="E10">
        <v>-500</v>
      </c>
      <c r="F10">
        <f>E10/(1+D3)^B10</f>
        <v>-485.00000000000006</v>
      </c>
    </row>
    <row r="11" spans="1:6" x14ac:dyDescent="0.3">
      <c r="B11">
        <v>1.5</v>
      </c>
      <c r="C11">
        <v>1000</v>
      </c>
      <c r="D11">
        <f>C11/(1+D4)^B11</f>
        <v>950</v>
      </c>
      <c r="E11">
        <v>0</v>
      </c>
      <c r="F11">
        <f>E11/(1+D4)^B11</f>
        <v>0</v>
      </c>
    </row>
    <row r="12" spans="1:6" x14ac:dyDescent="0.3">
      <c r="B12">
        <v>2</v>
      </c>
      <c r="C12">
        <v>500</v>
      </c>
      <c r="D12">
        <f>C12/(1+D5)^B12</f>
        <v>462.5</v>
      </c>
      <c r="E12">
        <v>1000</v>
      </c>
      <c r="F12">
        <f>E12/(1+D5)^B12</f>
        <v>925</v>
      </c>
    </row>
    <row r="13" spans="1:6" x14ac:dyDescent="0.3">
      <c r="B13">
        <v>2.5</v>
      </c>
      <c r="E13">
        <v>500</v>
      </c>
      <c r="F13">
        <f>E13/(1+D6)^B13</f>
        <v>445.00000000000006</v>
      </c>
    </row>
    <row r="15" spans="1:6" x14ac:dyDescent="0.3">
      <c r="C15" s="8"/>
    </row>
    <row r="16" spans="1:6" x14ac:dyDescent="0.3">
      <c r="B16" s="3" t="s">
        <v>24</v>
      </c>
      <c r="C16" s="8">
        <f>SUM(D9:D13)</f>
        <v>927.5</v>
      </c>
      <c r="E16" t="s">
        <v>32</v>
      </c>
      <c r="F16" s="4">
        <f>IRR(C10:C12)</f>
        <v>1.4142135623730945</v>
      </c>
    </row>
    <row r="17" spans="2:6" x14ac:dyDescent="0.3">
      <c r="B17" t="s">
        <v>25</v>
      </c>
      <c r="C17" s="8">
        <f>SUM(F10:F13)</f>
        <v>885</v>
      </c>
      <c r="E17" t="s">
        <v>33</v>
      </c>
      <c r="F17" s="4">
        <f>IRR(E10:E13)</f>
        <v>0.61803398874932802</v>
      </c>
    </row>
    <row r="18" spans="2:6" x14ac:dyDescent="0.3">
      <c r="B18" s="5" t="s">
        <v>23</v>
      </c>
      <c r="C18" s="9">
        <f>C16-C17</f>
        <v>42.5</v>
      </c>
      <c r="E18" s="7" t="s">
        <v>23</v>
      </c>
      <c r="F18" s="10">
        <f>F16-F17</f>
        <v>0.79617957362376646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6A81-5CB0-461F-A3B9-16630748E646}">
  <dimension ref="A1:F17"/>
  <sheetViews>
    <sheetView workbookViewId="0">
      <selection activeCell="F6" sqref="F6"/>
    </sheetView>
  </sheetViews>
  <sheetFormatPr defaultRowHeight="15.6" x14ac:dyDescent="0.3"/>
  <cols>
    <col min="1" max="1" width="10.09765625" bestFit="1" customWidth="1"/>
    <col min="2" max="3" width="15.09765625" bestFit="1" customWidth="1"/>
    <col min="4" max="5" width="13.8984375" bestFit="1" customWidth="1"/>
  </cols>
  <sheetData>
    <row r="1" spans="1:6" x14ac:dyDescent="0.3">
      <c r="A1" s="95" t="s">
        <v>0</v>
      </c>
      <c r="B1" s="87" t="s">
        <v>15</v>
      </c>
      <c r="C1" s="87" t="s">
        <v>16</v>
      </c>
      <c r="D1" s="96" t="s">
        <v>156</v>
      </c>
      <c r="E1" s="87"/>
      <c r="F1" s="87"/>
    </row>
    <row r="2" spans="1:6" x14ac:dyDescent="0.3">
      <c r="A2" s="87"/>
      <c r="B2" s="87">
        <v>1</v>
      </c>
      <c r="C2" s="97">
        <v>970</v>
      </c>
      <c r="D2" s="98">
        <f>(1000/C2)^(1/B2)-1</f>
        <v>3.0927835051546282E-2</v>
      </c>
      <c r="E2" s="87" t="s">
        <v>157</v>
      </c>
      <c r="F2" s="87"/>
    </row>
    <row r="3" spans="1:6" x14ac:dyDescent="0.3">
      <c r="A3" s="87"/>
      <c r="B3" s="87">
        <v>1.5</v>
      </c>
      <c r="C3" s="97">
        <v>950</v>
      </c>
      <c r="D3" s="98">
        <f>(1000/C3)^(1/B3)-1</f>
        <v>3.4786918412166745E-2</v>
      </c>
      <c r="E3" s="87"/>
      <c r="F3" s="87"/>
    </row>
    <row r="4" spans="1:6" x14ac:dyDescent="0.3">
      <c r="A4" s="87"/>
      <c r="B4" s="87">
        <v>2</v>
      </c>
      <c r="C4" s="97">
        <v>925</v>
      </c>
      <c r="D4" s="98">
        <f>(1000/C4)^(1/B4)-1</f>
        <v>3.9750489820072676E-2</v>
      </c>
      <c r="E4" s="87"/>
      <c r="F4" s="87"/>
    </row>
    <row r="5" spans="1:6" x14ac:dyDescent="0.3">
      <c r="A5" s="87"/>
      <c r="B5" s="87">
        <v>2.5</v>
      </c>
      <c r="C5" s="97">
        <v>890</v>
      </c>
      <c r="D5" s="98">
        <f>(1000/C5)^(1/B5)-1</f>
        <v>4.771701596546829E-2</v>
      </c>
      <c r="E5" s="87"/>
      <c r="F5" s="87"/>
    </row>
    <row r="6" spans="1:6" x14ac:dyDescent="0.3">
      <c r="A6" s="87"/>
      <c r="B6" s="87"/>
      <c r="C6" s="87"/>
      <c r="D6" s="87"/>
      <c r="E6" s="87"/>
      <c r="F6" s="87"/>
    </row>
    <row r="7" spans="1:6" x14ac:dyDescent="0.3">
      <c r="A7" s="95" t="s">
        <v>2</v>
      </c>
      <c r="B7" s="87" t="s">
        <v>22</v>
      </c>
      <c r="C7" s="87" t="s">
        <v>20</v>
      </c>
      <c r="D7" s="87" t="s">
        <v>9</v>
      </c>
      <c r="E7" s="87" t="s">
        <v>158</v>
      </c>
      <c r="F7" s="87" t="s">
        <v>9</v>
      </c>
    </row>
    <row r="8" spans="1:6" x14ac:dyDescent="0.3">
      <c r="A8" s="87"/>
      <c r="B8" s="87">
        <v>0</v>
      </c>
      <c r="C8" s="87"/>
      <c r="D8" s="87"/>
      <c r="E8" s="87"/>
      <c r="F8" s="87"/>
    </row>
    <row r="9" spans="1:6" x14ac:dyDescent="0.3">
      <c r="A9" s="87"/>
      <c r="B9" s="87">
        <v>1</v>
      </c>
      <c r="C9" s="87">
        <v>-500</v>
      </c>
      <c r="D9" s="87">
        <f>C9/(1+D2)^B9</f>
        <v>-485.00000000000006</v>
      </c>
      <c r="E9" s="87">
        <v>-500</v>
      </c>
      <c r="F9" s="87">
        <f>E9/(1+D2)^B9</f>
        <v>-485.00000000000006</v>
      </c>
    </row>
    <row r="10" spans="1:6" x14ac:dyDescent="0.3">
      <c r="A10" s="87"/>
      <c r="B10" s="87">
        <v>1.5</v>
      </c>
      <c r="C10" s="87">
        <v>1000</v>
      </c>
      <c r="D10" s="87">
        <f>C10/(1+D3)^B10</f>
        <v>950</v>
      </c>
      <c r="E10" s="7">
        <v>0</v>
      </c>
      <c r="F10" s="87">
        <f>E10/(1+D3)^B10</f>
        <v>0</v>
      </c>
    </row>
    <row r="11" spans="1:6" x14ac:dyDescent="0.3">
      <c r="A11" s="87"/>
      <c r="B11" s="87">
        <v>2</v>
      </c>
      <c r="C11" s="87">
        <v>500</v>
      </c>
      <c r="D11" s="87">
        <f>C11/(1+D4)^B11</f>
        <v>462.5</v>
      </c>
      <c r="E11" s="87">
        <v>1000</v>
      </c>
      <c r="F11" s="87">
        <f>E11/(1+D4)^B11</f>
        <v>925</v>
      </c>
    </row>
    <row r="12" spans="1:6" x14ac:dyDescent="0.3">
      <c r="A12" s="87"/>
      <c r="B12" s="87">
        <v>2.5</v>
      </c>
      <c r="C12" s="87"/>
      <c r="D12" s="87"/>
      <c r="E12" s="87">
        <v>500</v>
      </c>
      <c r="F12" s="87">
        <f>E12/(1+D5)^B12</f>
        <v>445.00000000000006</v>
      </c>
    </row>
    <row r="13" spans="1:6" x14ac:dyDescent="0.3">
      <c r="A13" s="87"/>
      <c r="B13" s="87"/>
      <c r="C13" s="87"/>
      <c r="D13" s="87"/>
      <c r="E13" s="87"/>
      <c r="F13" s="87"/>
    </row>
    <row r="14" spans="1:6" x14ac:dyDescent="0.3">
      <c r="A14" s="87"/>
      <c r="B14" s="87"/>
      <c r="C14" s="99"/>
      <c r="D14" s="87"/>
      <c r="E14" s="87"/>
      <c r="F14" s="87"/>
    </row>
    <row r="15" spans="1:6" x14ac:dyDescent="0.3">
      <c r="A15" s="87"/>
      <c r="B15" s="96" t="s">
        <v>24</v>
      </c>
      <c r="C15" s="99">
        <f>SUM(D8:D12)</f>
        <v>927.5</v>
      </c>
      <c r="D15" s="87"/>
      <c r="E15" s="87" t="s">
        <v>32</v>
      </c>
      <c r="F15" s="100">
        <f>IRR(C9:C11)</f>
        <v>1.4142135623730945</v>
      </c>
    </row>
    <row r="16" spans="1:6" x14ac:dyDescent="0.3">
      <c r="A16" s="87"/>
      <c r="B16" s="87" t="s">
        <v>25</v>
      </c>
      <c r="C16" s="99">
        <f>SUM(F9:F12)</f>
        <v>885</v>
      </c>
      <c r="D16" s="87"/>
      <c r="E16" s="87" t="s">
        <v>33</v>
      </c>
      <c r="F16" s="100">
        <f>IRR(E9:E12)</f>
        <v>0.61803398874932802</v>
      </c>
    </row>
    <row r="17" spans="1:6" x14ac:dyDescent="0.3">
      <c r="A17" s="87"/>
      <c r="B17" s="96" t="s">
        <v>23</v>
      </c>
      <c r="C17" s="99">
        <f>C15-C16</f>
        <v>42.5</v>
      </c>
      <c r="D17" s="87"/>
      <c r="E17" s="87" t="s">
        <v>23</v>
      </c>
      <c r="F17" s="100">
        <f>F15-F16</f>
        <v>0.79617957362376646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2:G36"/>
  <sheetViews>
    <sheetView workbookViewId="0">
      <selection activeCell="C36" sqref="C33:C36"/>
    </sheetView>
  </sheetViews>
  <sheetFormatPr defaultColWidth="11" defaultRowHeight="15.6" x14ac:dyDescent="0.3"/>
  <cols>
    <col min="1" max="1" width="11" style="49"/>
    <col min="2" max="2" width="21" style="49" customWidth="1"/>
    <col min="3" max="3" width="13.5" style="49" bestFit="1" customWidth="1"/>
    <col min="4" max="5" width="11" style="49"/>
    <col min="6" max="6" width="18.3984375" style="49" bestFit="1" customWidth="1"/>
    <col min="7" max="16384" width="11" style="49"/>
  </cols>
  <sheetData>
    <row r="2" spans="1:7" x14ac:dyDescent="0.3">
      <c r="A2" s="48" t="s">
        <v>0</v>
      </c>
      <c r="B2" s="49" t="s">
        <v>6</v>
      </c>
      <c r="C2" s="49" t="s">
        <v>7</v>
      </c>
      <c r="D2" s="49" t="s">
        <v>8</v>
      </c>
      <c r="E2" s="49" t="s">
        <v>9</v>
      </c>
    </row>
    <row r="3" spans="1:7" x14ac:dyDescent="0.3">
      <c r="B3" s="49">
        <v>0</v>
      </c>
      <c r="C3" s="49">
        <v>2</v>
      </c>
      <c r="D3" s="50">
        <v>70000</v>
      </c>
      <c r="F3" s="49" t="s">
        <v>4</v>
      </c>
      <c r="G3" s="51">
        <v>0.05</v>
      </c>
    </row>
    <row r="4" spans="1:7" x14ac:dyDescent="0.3">
      <c r="B4" s="49">
        <v>1</v>
      </c>
      <c r="C4" s="49">
        <v>3</v>
      </c>
      <c r="D4" s="50">
        <f t="shared" ref="D4:D22" si="0">D3*(1+G$3)</f>
        <v>73500</v>
      </c>
      <c r="F4" s="49" t="s">
        <v>5</v>
      </c>
      <c r="G4" s="51">
        <v>0.04</v>
      </c>
    </row>
    <row r="5" spans="1:7" x14ac:dyDescent="0.3">
      <c r="B5" s="49">
        <v>2</v>
      </c>
      <c r="C5" s="49">
        <v>4</v>
      </c>
      <c r="D5" s="50">
        <f t="shared" si="0"/>
        <v>77175</v>
      </c>
      <c r="F5" s="52" t="s">
        <v>18</v>
      </c>
      <c r="G5" s="53">
        <f>E23</f>
        <v>620076.98498249892</v>
      </c>
    </row>
    <row r="6" spans="1:7" x14ac:dyDescent="0.3">
      <c r="B6" s="49">
        <v>3</v>
      </c>
      <c r="C6" s="49">
        <v>5</v>
      </c>
      <c r="D6" s="50">
        <f t="shared" si="0"/>
        <v>81033.75</v>
      </c>
    </row>
    <row r="7" spans="1:7" x14ac:dyDescent="0.3">
      <c r="B7" s="49">
        <v>4</v>
      </c>
      <c r="C7" s="49">
        <v>6</v>
      </c>
      <c r="D7" s="50">
        <f t="shared" si="0"/>
        <v>85085.4375</v>
      </c>
    </row>
    <row r="8" spans="1:7" x14ac:dyDescent="0.3">
      <c r="B8" s="49">
        <v>5</v>
      </c>
      <c r="C8" s="49">
        <v>7</v>
      </c>
      <c r="D8" s="50">
        <f t="shared" si="0"/>
        <v>89339.709375000006</v>
      </c>
    </row>
    <row r="9" spans="1:7" x14ac:dyDescent="0.3">
      <c r="B9" s="49">
        <v>6</v>
      </c>
      <c r="C9" s="49">
        <v>8</v>
      </c>
      <c r="D9" s="50">
        <f t="shared" si="0"/>
        <v>93806.69484375001</v>
      </c>
    </row>
    <row r="10" spans="1:7" x14ac:dyDescent="0.3">
      <c r="B10" s="49">
        <v>7</v>
      </c>
      <c r="C10" s="49">
        <v>9</v>
      </c>
      <c r="D10" s="50">
        <f t="shared" si="0"/>
        <v>98497.029585937518</v>
      </c>
    </row>
    <row r="11" spans="1:7" x14ac:dyDescent="0.3">
      <c r="B11" s="49">
        <v>8</v>
      </c>
      <c r="C11" s="49">
        <v>10</v>
      </c>
      <c r="D11" s="50">
        <f t="shared" si="0"/>
        <v>103421.8810652344</v>
      </c>
    </row>
    <row r="12" spans="1:7" x14ac:dyDescent="0.3">
      <c r="B12" s="49">
        <v>9</v>
      </c>
      <c r="C12" s="49">
        <v>11</v>
      </c>
      <c r="D12" s="50">
        <f t="shared" si="0"/>
        <v>108592.97511849612</v>
      </c>
    </row>
    <row r="13" spans="1:7" x14ac:dyDescent="0.3">
      <c r="B13" s="49">
        <v>10</v>
      </c>
      <c r="C13" s="49">
        <v>12</v>
      </c>
      <c r="D13" s="50">
        <f t="shared" si="0"/>
        <v>114022.62387442093</v>
      </c>
    </row>
    <row r="14" spans="1:7" x14ac:dyDescent="0.3">
      <c r="B14" s="49">
        <v>11</v>
      </c>
      <c r="C14" s="49">
        <v>13</v>
      </c>
      <c r="D14" s="50">
        <f t="shared" si="0"/>
        <v>119723.75506814198</v>
      </c>
    </row>
    <row r="15" spans="1:7" x14ac:dyDescent="0.3">
      <c r="B15" s="49">
        <v>12</v>
      </c>
      <c r="C15" s="49">
        <v>14</v>
      </c>
      <c r="D15" s="50">
        <f t="shared" si="0"/>
        <v>125709.94282154909</v>
      </c>
    </row>
    <row r="16" spans="1:7" x14ac:dyDescent="0.3">
      <c r="B16" s="49">
        <v>13</v>
      </c>
      <c r="C16" s="49">
        <v>15</v>
      </c>
      <c r="D16" s="50">
        <f t="shared" si="0"/>
        <v>131995.43996262655</v>
      </c>
    </row>
    <row r="17" spans="1:6" x14ac:dyDescent="0.3">
      <c r="B17" s="49">
        <v>14</v>
      </c>
      <c r="C17" s="49">
        <v>16</v>
      </c>
      <c r="D17" s="50">
        <f t="shared" si="0"/>
        <v>138595.21196075788</v>
      </c>
    </row>
    <row r="18" spans="1:6" x14ac:dyDescent="0.3">
      <c r="B18" s="49">
        <v>15</v>
      </c>
      <c r="C18" s="49">
        <v>17</v>
      </c>
      <c r="D18" s="50">
        <f t="shared" si="0"/>
        <v>145524.97255879577</v>
      </c>
      <c r="F18" s="48" t="s">
        <v>14</v>
      </c>
    </row>
    <row r="19" spans="1:6" x14ac:dyDescent="0.3">
      <c r="B19" s="49">
        <v>16</v>
      </c>
      <c r="C19" s="49">
        <v>18</v>
      </c>
      <c r="D19" s="50">
        <f t="shared" si="0"/>
        <v>152801.22118673555</v>
      </c>
      <c r="E19" s="50">
        <f>D19</f>
        <v>152801.22118673555</v>
      </c>
      <c r="F19" s="54">
        <f>D$3*(1+G$3)^B19/(1+G$4)^(B19-16)</f>
        <v>152801.22118673552</v>
      </c>
    </row>
    <row r="20" spans="1:6" x14ac:dyDescent="0.3">
      <c r="B20" s="49">
        <v>17</v>
      </c>
      <c r="C20" s="49">
        <v>19</v>
      </c>
      <c r="D20" s="50">
        <f t="shared" si="0"/>
        <v>160441.28224607234</v>
      </c>
      <c r="E20" s="50">
        <f>D20/(1+G4)</f>
        <v>154270.46369814649</v>
      </c>
      <c r="F20" s="54">
        <f t="shared" ref="F20:F22" si="1">D$3*(1+G$3)^B20/(1+G$4)^(B20-16)</f>
        <v>154270.46369814646</v>
      </c>
    </row>
    <row r="21" spans="1:6" x14ac:dyDescent="0.3">
      <c r="B21" s="49">
        <v>18</v>
      </c>
      <c r="C21" s="49">
        <v>20</v>
      </c>
      <c r="D21" s="50">
        <f t="shared" si="0"/>
        <v>168463.34635837597</v>
      </c>
      <c r="E21" s="50">
        <f>D21/(1+G4)^2</f>
        <v>155753.83354139788</v>
      </c>
      <c r="F21" s="54">
        <f t="shared" si="1"/>
        <v>155753.83354139785</v>
      </c>
    </row>
    <row r="22" spans="1:6" x14ac:dyDescent="0.3">
      <c r="B22" s="49">
        <v>19</v>
      </c>
      <c r="C22" s="49">
        <v>21</v>
      </c>
      <c r="D22" s="50">
        <f t="shared" si="0"/>
        <v>176886.51367629477</v>
      </c>
      <c r="E22" s="50">
        <f>D22/(1+G4)^3</f>
        <v>157251.46655621903</v>
      </c>
      <c r="F22" s="54">
        <f t="shared" si="1"/>
        <v>157251.46655621901</v>
      </c>
    </row>
    <row r="23" spans="1:6" x14ac:dyDescent="0.3">
      <c r="D23" s="49" t="s">
        <v>10</v>
      </c>
      <c r="E23" s="50">
        <f>SUM(E19:E22)</f>
        <v>620076.98498249892</v>
      </c>
      <c r="F23" s="55">
        <f>SUM(F19:F22)</f>
        <v>620076.98498249881</v>
      </c>
    </row>
    <row r="25" spans="1:6" x14ac:dyDescent="0.3">
      <c r="A25" s="48" t="s">
        <v>2</v>
      </c>
      <c r="B25" s="52" t="s">
        <v>11</v>
      </c>
      <c r="C25" s="56">
        <f>E23/(1+G4)^B19</f>
        <v>331064.17183678265</v>
      </c>
    </row>
    <row r="26" spans="1:6" x14ac:dyDescent="0.3">
      <c r="B26" s="3" t="s">
        <v>145</v>
      </c>
      <c r="C26" s="57">
        <f>G4/12</f>
        <v>3.3333333333333335E-3</v>
      </c>
    </row>
    <row r="27" spans="1:6" x14ac:dyDescent="0.3">
      <c r="B27" s="49" t="s">
        <v>12</v>
      </c>
      <c r="C27" s="49">
        <f>B19*12</f>
        <v>192</v>
      </c>
    </row>
    <row r="28" spans="1:6" x14ac:dyDescent="0.3">
      <c r="B28" s="52" t="s">
        <v>19</v>
      </c>
      <c r="C28" s="58">
        <f>PMT(C26,C27,-C25)</f>
        <v>2337.3004440741115</v>
      </c>
    </row>
    <row r="30" spans="1:6" x14ac:dyDescent="0.3">
      <c r="C30" s="59"/>
    </row>
    <row r="31" spans="1:6" x14ac:dyDescent="0.3">
      <c r="A31" s="48" t="s">
        <v>3</v>
      </c>
      <c r="B31" s="49" t="s">
        <v>4</v>
      </c>
      <c r="C31" s="60">
        <v>2E-3</v>
      </c>
    </row>
    <row r="32" spans="1:6" x14ac:dyDescent="0.3">
      <c r="B32" s="52" t="s">
        <v>13</v>
      </c>
      <c r="C32" s="61">
        <f>C25*(C26-C31)/(1-((1+C31)/(1+C26))^C27)</f>
        <v>1958.9815729019213</v>
      </c>
    </row>
    <row r="34" spans="2:3" x14ac:dyDescent="0.3">
      <c r="B34" s="48"/>
      <c r="C34" s="85"/>
    </row>
    <row r="35" spans="2:3" x14ac:dyDescent="0.3">
      <c r="C35" s="55"/>
    </row>
    <row r="36" spans="2:3" x14ac:dyDescent="0.3">
      <c r="C36" s="55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EE61-4AE7-4DEA-B2B5-8F6E8EDA3283}">
  <dimension ref="A1:M38"/>
  <sheetViews>
    <sheetView topLeftCell="F1" workbookViewId="0">
      <selection activeCell="N22" sqref="N22"/>
    </sheetView>
  </sheetViews>
  <sheetFormatPr defaultRowHeight="15.6" x14ac:dyDescent="0.3"/>
  <cols>
    <col min="5" max="5" width="10.69921875" bestFit="1" customWidth="1"/>
    <col min="6" max="6" width="11.5" bestFit="1" customWidth="1"/>
    <col min="9" max="9" width="19.8984375" customWidth="1"/>
    <col min="10" max="10" width="10.09765625" bestFit="1" customWidth="1"/>
    <col min="11" max="11" width="19.09765625" bestFit="1" customWidth="1"/>
    <col min="12" max="12" width="13.5" bestFit="1" customWidth="1"/>
  </cols>
  <sheetData>
    <row r="1" spans="3:13" x14ac:dyDescent="0.3">
      <c r="D1" t="s">
        <v>116</v>
      </c>
      <c r="E1">
        <v>0.04</v>
      </c>
      <c r="I1" t="s">
        <v>141</v>
      </c>
      <c r="J1" s="79">
        <f>E1/12</f>
        <v>3.3333333333333335E-3</v>
      </c>
    </row>
    <row r="2" spans="3:13" x14ac:dyDescent="0.3">
      <c r="I2" t="s">
        <v>142</v>
      </c>
      <c r="J2" s="63">
        <f>PMT(J1,J3,I6)</f>
        <v>-2337.300444074112</v>
      </c>
    </row>
    <row r="3" spans="3:13" x14ac:dyDescent="0.3">
      <c r="I3" t="s">
        <v>143</v>
      </c>
      <c r="J3" s="81">
        <f>12*16</f>
        <v>192</v>
      </c>
      <c r="K3" t="s">
        <v>144</v>
      </c>
    </row>
    <row r="4" spans="3:13" x14ac:dyDescent="0.3">
      <c r="J4" s="63"/>
    </row>
    <row r="5" spans="3:13" x14ac:dyDescent="0.3">
      <c r="C5" t="s">
        <v>6</v>
      </c>
      <c r="D5" t="s">
        <v>8</v>
      </c>
      <c r="E5" t="s">
        <v>4</v>
      </c>
      <c r="I5" t="s">
        <v>11</v>
      </c>
      <c r="K5" t="s">
        <v>147</v>
      </c>
    </row>
    <row r="6" spans="3:13" x14ac:dyDescent="0.3">
      <c r="C6">
        <v>0</v>
      </c>
      <c r="D6">
        <v>70000</v>
      </c>
      <c r="I6" s="84">
        <f>F21/(1+E1)^15</f>
        <v>331064.17183678271</v>
      </c>
      <c r="K6" t="s">
        <v>146</v>
      </c>
      <c r="L6" s="78">
        <v>2E-3</v>
      </c>
    </row>
    <row r="7" spans="3:13" x14ac:dyDescent="0.3">
      <c r="C7">
        <f>C6+1</f>
        <v>1</v>
      </c>
      <c r="D7">
        <f>D6*(1+E7)</f>
        <v>73500</v>
      </c>
      <c r="E7">
        <v>0.05</v>
      </c>
      <c r="K7" t="s">
        <v>148</v>
      </c>
      <c r="L7">
        <f>((1+L6)/(1+J1))^J3</f>
        <v>0.77466919449962734</v>
      </c>
      <c r="M7" t="s">
        <v>151</v>
      </c>
    </row>
    <row r="8" spans="3:13" x14ac:dyDescent="0.3">
      <c r="C8">
        <f t="shared" ref="C8:C25" si="0">C7+1</f>
        <v>2</v>
      </c>
      <c r="D8">
        <f t="shared" ref="D8:D25" si="1">D7*(1+E8)</f>
        <v>77175</v>
      </c>
      <c r="E8">
        <v>0.05</v>
      </c>
      <c r="K8" t="s">
        <v>149</v>
      </c>
      <c r="L8">
        <f>1-L7</f>
        <v>0.22533080550037266</v>
      </c>
      <c r="M8" t="s">
        <v>152</v>
      </c>
    </row>
    <row r="9" spans="3:13" x14ac:dyDescent="0.3">
      <c r="C9">
        <f t="shared" si="0"/>
        <v>3</v>
      </c>
      <c r="D9">
        <f t="shared" si="1"/>
        <v>81033.75</v>
      </c>
      <c r="E9">
        <v>0.05</v>
      </c>
      <c r="K9" t="s">
        <v>150</v>
      </c>
      <c r="L9" s="86">
        <f>J1-L6</f>
        <v>1.3333333333333335E-3</v>
      </c>
      <c r="M9" t="s">
        <v>155</v>
      </c>
    </row>
    <row r="10" spans="3:13" x14ac:dyDescent="0.3">
      <c r="C10">
        <f t="shared" si="0"/>
        <v>4</v>
      </c>
      <c r="D10">
        <f t="shared" si="1"/>
        <v>85085.4375</v>
      </c>
      <c r="E10">
        <v>0.05</v>
      </c>
      <c r="K10" t="s">
        <v>77</v>
      </c>
      <c r="L10" s="82">
        <f>I6</f>
        <v>331064.17183678271</v>
      </c>
    </row>
    <row r="11" spans="3:13" x14ac:dyDescent="0.3">
      <c r="C11">
        <f t="shared" si="0"/>
        <v>5</v>
      </c>
      <c r="D11">
        <f t="shared" si="1"/>
        <v>89339.709375000006</v>
      </c>
      <c r="E11">
        <v>0.05</v>
      </c>
      <c r="K11" t="s">
        <v>153</v>
      </c>
      <c r="L11" s="83">
        <f>L10*L9/L8</f>
        <v>1958.9815729019217</v>
      </c>
      <c r="M11" t="s">
        <v>154</v>
      </c>
    </row>
    <row r="12" spans="3:13" x14ac:dyDescent="0.3">
      <c r="C12">
        <f t="shared" si="0"/>
        <v>6</v>
      </c>
      <c r="D12">
        <f t="shared" si="1"/>
        <v>93806.69484375001</v>
      </c>
      <c r="E12">
        <v>0.05</v>
      </c>
    </row>
    <row r="13" spans="3:13" x14ac:dyDescent="0.3">
      <c r="C13">
        <f t="shared" si="0"/>
        <v>7</v>
      </c>
      <c r="D13">
        <f t="shared" si="1"/>
        <v>98497.029585937518</v>
      </c>
      <c r="E13">
        <v>0.05</v>
      </c>
    </row>
    <row r="14" spans="3:13" x14ac:dyDescent="0.3">
      <c r="C14">
        <f t="shared" si="0"/>
        <v>8</v>
      </c>
      <c r="D14">
        <f t="shared" si="1"/>
        <v>103421.8810652344</v>
      </c>
      <c r="E14">
        <v>0.05</v>
      </c>
    </row>
    <row r="15" spans="3:13" x14ac:dyDescent="0.3">
      <c r="C15">
        <f t="shared" si="0"/>
        <v>9</v>
      </c>
      <c r="D15">
        <f t="shared" si="1"/>
        <v>108592.97511849612</v>
      </c>
      <c r="E15">
        <v>0.05</v>
      </c>
    </row>
    <row r="16" spans="3:13" x14ac:dyDescent="0.3">
      <c r="C16">
        <f t="shared" si="0"/>
        <v>10</v>
      </c>
      <c r="D16">
        <f t="shared" si="1"/>
        <v>114022.62387442093</v>
      </c>
      <c r="E16">
        <v>0.05</v>
      </c>
    </row>
    <row r="17" spans="1:13" x14ac:dyDescent="0.3">
      <c r="C17">
        <f t="shared" si="0"/>
        <v>11</v>
      </c>
      <c r="D17">
        <f t="shared" si="1"/>
        <v>119723.75506814198</v>
      </c>
      <c r="E17">
        <v>0.05</v>
      </c>
    </row>
    <row r="18" spans="1:13" x14ac:dyDescent="0.3">
      <c r="C18">
        <f t="shared" si="0"/>
        <v>12</v>
      </c>
      <c r="D18">
        <f t="shared" si="1"/>
        <v>125709.94282154909</v>
      </c>
      <c r="E18">
        <v>0.05</v>
      </c>
    </row>
    <row r="19" spans="1:13" x14ac:dyDescent="0.3">
      <c r="C19">
        <f t="shared" si="0"/>
        <v>13</v>
      </c>
      <c r="D19">
        <f t="shared" si="1"/>
        <v>131995.43996262655</v>
      </c>
      <c r="E19">
        <v>0.05</v>
      </c>
    </row>
    <row r="20" spans="1:13" x14ac:dyDescent="0.3">
      <c r="C20">
        <f t="shared" si="0"/>
        <v>14</v>
      </c>
      <c r="D20">
        <f t="shared" si="1"/>
        <v>138595.21196075788</v>
      </c>
      <c r="E20">
        <v>0.05</v>
      </c>
      <c r="F20" t="s">
        <v>77</v>
      </c>
      <c r="G20" t="s">
        <v>82</v>
      </c>
    </row>
    <row r="21" spans="1:13" x14ac:dyDescent="0.3">
      <c r="C21">
        <f t="shared" si="0"/>
        <v>15</v>
      </c>
      <c r="D21">
        <f t="shared" si="1"/>
        <v>145524.97255879577</v>
      </c>
      <c r="E21">
        <v>0.05</v>
      </c>
      <c r="F21" s="63">
        <f>NPV(E1,D22:D25)</f>
        <v>596227.87017547968</v>
      </c>
    </row>
    <row r="22" spans="1:13" x14ac:dyDescent="0.3">
      <c r="A22" t="s">
        <v>140</v>
      </c>
      <c r="C22" s="7">
        <f t="shared" si="0"/>
        <v>16</v>
      </c>
      <c r="D22" s="7">
        <f t="shared" si="1"/>
        <v>152801.22118673555</v>
      </c>
      <c r="E22" s="7">
        <v>0.05</v>
      </c>
      <c r="G22">
        <f>F21*(1+$E$1)-D22</f>
        <v>467275.76379576337</v>
      </c>
    </row>
    <row r="23" spans="1:13" x14ac:dyDescent="0.3">
      <c r="C23" s="7">
        <f t="shared" si="0"/>
        <v>17</v>
      </c>
      <c r="D23" s="7">
        <f t="shared" si="1"/>
        <v>160441.28224607234</v>
      </c>
      <c r="E23" s="7">
        <v>0.05</v>
      </c>
      <c r="G23">
        <f>G22*(1+$E$1)-D23</f>
        <v>325525.5121015216</v>
      </c>
    </row>
    <row r="24" spans="1:13" x14ac:dyDescent="0.3">
      <c r="C24" s="7">
        <f t="shared" si="0"/>
        <v>18</v>
      </c>
      <c r="D24" s="7">
        <f t="shared" si="1"/>
        <v>168463.34635837597</v>
      </c>
      <c r="E24" s="7">
        <v>0.05</v>
      </c>
      <c r="G24">
        <f t="shared" ref="G24:G25" si="2">G23*(1+$E$1)-D24</f>
        <v>170083.18622720649</v>
      </c>
    </row>
    <row r="25" spans="1:13" x14ac:dyDescent="0.3">
      <c r="C25" s="7">
        <f t="shared" si="0"/>
        <v>19</v>
      </c>
      <c r="D25" s="7">
        <f t="shared" si="1"/>
        <v>176886.51367629477</v>
      </c>
      <c r="E25" s="7">
        <v>0.05</v>
      </c>
      <c r="G25">
        <f t="shared" si="2"/>
        <v>0</v>
      </c>
    </row>
    <row r="28" spans="1:13" x14ac:dyDescent="0.3">
      <c r="I28" s="87"/>
      <c r="J28" s="87"/>
      <c r="K28" s="87"/>
      <c r="L28" s="87"/>
      <c r="M28" s="87"/>
    </row>
    <row r="29" spans="1:13" x14ac:dyDescent="0.3">
      <c r="I29" s="87"/>
      <c r="J29" s="88"/>
      <c r="K29" s="89"/>
      <c r="L29" s="90"/>
      <c r="M29" s="87"/>
    </row>
    <row r="30" spans="1:13" x14ac:dyDescent="0.3">
      <c r="I30" s="87"/>
      <c r="J30" s="89"/>
      <c r="K30" s="89"/>
      <c r="L30" s="91"/>
      <c r="M30" s="87"/>
    </row>
    <row r="31" spans="1:13" x14ac:dyDescent="0.3">
      <c r="I31" s="87"/>
      <c r="J31" s="89"/>
      <c r="K31" s="89"/>
      <c r="L31" s="89"/>
      <c r="M31" s="87"/>
    </row>
    <row r="32" spans="1:13" x14ac:dyDescent="0.3">
      <c r="I32" s="87"/>
      <c r="J32" s="89"/>
      <c r="K32" s="89"/>
      <c r="L32" s="92"/>
      <c r="M32" s="87"/>
    </row>
    <row r="33" spans="9:13" x14ac:dyDescent="0.3">
      <c r="I33" s="87"/>
      <c r="J33" s="89"/>
      <c r="K33" s="89"/>
      <c r="L33" s="89"/>
      <c r="M33" s="87"/>
    </row>
    <row r="34" spans="9:13" x14ac:dyDescent="0.3">
      <c r="I34" s="87"/>
      <c r="J34" s="89"/>
      <c r="K34" s="89"/>
      <c r="L34" s="92"/>
      <c r="M34" s="87"/>
    </row>
    <row r="35" spans="9:13" x14ac:dyDescent="0.3">
      <c r="I35" s="87"/>
      <c r="J35" s="88"/>
      <c r="K35" s="89"/>
      <c r="L35" s="93"/>
      <c r="M35" s="87"/>
    </row>
    <row r="36" spans="9:13" x14ac:dyDescent="0.3">
      <c r="I36" s="87"/>
      <c r="J36" s="89"/>
      <c r="K36" s="89"/>
      <c r="L36" s="94"/>
      <c r="M36" s="87"/>
    </row>
    <row r="37" spans="9:13" x14ac:dyDescent="0.3">
      <c r="I37" s="87"/>
      <c r="J37" s="87"/>
      <c r="K37" s="87"/>
      <c r="L37" s="87"/>
      <c r="M37" s="87"/>
    </row>
    <row r="38" spans="9:13" x14ac:dyDescent="0.3">
      <c r="I38" s="87"/>
      <c r="J38" s="87"/>
      <c r="K38" s="87"/>
      <c r="L38" s="87"/>
      <c r="M38" s="87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DB17-014F-4807-8D00-8708FC975BDD}">
  <dimension ref="B1:M12"/>
  <sheetViews>
    <sheetView zoomScale="145" zoomScaleNormal="145" workbookViewId="0">
      <selection activeCell="D12" sqref="D12"/>
    </sheetView>
  </sheetViews>
  <sheetFormatPr defaultRowHeight="15.6" x14ac:dyDescent="0.3"/>
  <cols>
    <col min="2" max="2" width="13.796875" bestFit="1" customWidth="1"/>
  </cols>
  <sheetData>
    <row r="1" spans="2:13" x14ac:dyDescent="0.3">
      <c r="B1" s="1" t="s">
        <v>105</v>
      </c>
    </row>
    <row r="3" spans="2:13" x14ac:dyDescent="0.3">
      <c r="B3" t="s">
        <v>6</v>
      </c>
      <c r="C3" s="43">
        <v>0</v>
      </c>
      <c r="D3" s="43">
        <f>1+C3</f>
        <v>1</v>
      </c>
      <c r="E3" s="43">
        <f>1+D3</f>
        <v>2</v>
      </c>
      <c r="F3" s="43">
        <f>1+E3</f>
        <v>3</v>
      </c>
      <c r="G3" s="43">
        <f>1+F3</f>
        <v>4</v>
      </c>
      <c r="H3" s="43">
        <f>1+G3</f>
        <v>5</v>
      </c>
    </row>
    <row r="4" spans="2:13" x14ac:dyDescent="0.3">
      <c r="B4" s="11" t="s">
        <v>64</v>
      </c>
      <c r="C4" s="11"/>
      <c r="D4" s="72">
        <v>50</v>
      </c>
      <c r="E4" s="72">
        <v>50</v>
      </c>
      <c r="F4" s="72">
        <v>50</v>
      </c>
      <c r="G4" s="72">
        <v>50</v>
      </c>
      <c r="H4" s="72"/>
    </row>
    <row r="5" spans="2:13" x14ac:dyDescent="0.3">
      <c r="B5" s="68" t="s">
        <v>95</v>
      </c>
      <c r="C5" s="11"/>
      <c r="D5" s="72">
        <v>0</v>
      </c>
      <c r="E5" s="72">
        <v>0</v>
      </c>
      <c r="F5" s="72">
        <v>0</v>
      </c>
      <c r="G5" s="72">
        <v>0</v>
      </c>
      <c r="H5" s="72"/>
    </row>
    <row r="6" spans="2:13" x14ac:dyDescent="0.3">
      <c r="B6" s="11" t="s">
        <v>29</v>
      </c>
      <c r="C6" s="11"/>
      <c r="D6" s="72">
        <f>D5-D4</f>
        <v>-50</v>
      </c>
      <c r="E6" s="72">
        <f t="shared" ref="E6:G6" si="0">E5-E4</f>
        <v>-50</v>
      </c>
      <c r="F6" s="72">
        <f t="shared" si="0"/>
        <v>-50</v>
      </c>
      <c r="G6" s="72">
        <f t="shared" si="0"/>
        <v>-50</v>
      </c>
      <c r="H6" s="72"/>
      <c r="J6" t="s">
        <v>114</v>
      </c>
      <c r="M6" t="s">
        <v>115</v>
      </c>
    </row>
    <row r="7" spans="2:13" x14ac:dyDescent="0.3">
      <c r="B7" s="11" t="s">
        <v>34</v>
      </c>
      <c r="C7" s="11"/>
      <c r="D7" s="72">
        <f>D6-C6</f>
        <v>-50</v>
      </c>
      <c r="E7" s="72">
        <f t="shared" ref="E7:H7" si="1">E6-D6</f>
        <v>0</v>
      </c>
      <c r="F7" s="72">
        <f t="shared" si="1"/>
        <v>0</v>
      </c>
      <c r="G7" s="72">
        <f t="shared" si="1"/>
        <v>0</v>
      </c>
      <c r="H7" s="72">
        <f t="shared" si="1"/>
        <v>50</v>
      </c>
      <c r="J7" t="s">
        <v>96</v>
      </c>
    </row>
    <row r="9" spans="2:13" x14ac:dyDescent="0.3">
      <c r="B9" s="46" t="s">
        <v>97</v>
      </c>
      <c r="C9" t="s">
        <v>99</v>
      </c>
      <c r="D9" t="s">
        <v>98</v>
      </c>
    </row>
    <row r="10" spans="2:13" x14ac:dyDescent="0.3">
      <c r="D10" t="s">
        <v>103</v>
      </c>
    </row>
    <row r="11" spans="2:13" x14ac:dyDescent="0.3">
      <c r="C11" t="s">
        <v>100</v>
      </c>
      <c r="D11" t="s">
        <v>101</v>
      </c>
    </row>
    <row r="12" spans="2:13" x14ac:dyDescent="0.3">
      <c r="D12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D48E-2811-450E-8B25-447B78DBEBFC}">
  <dimension ref="B1:I55"/>
  <sheetViews>
    <sheetView zoomScale="160" zoomScaleNormal="160" workbookViewId="0">
      <selection activeCell="C16" sqref="C16"/>
    </sheetView>
  </sheetViews>
  <sheetFormatPr defaultColWidth="7.69921875" defaultRowHeight="14.4" x14ac:dyDescent="0.3"/>
  <cols>
    <col min="1" max="1" width="7.69921875" style="11"/>
    <col min="2" max="2" width="28.59765625" style="11" bestFit="1" customWidth="1"/>
    <col min="3" max="16384" width="7.69921875" style="11"/>
  </cols>
  <sheetData>
    <row r="1" spans="2:9" x14ac:dyDescent="0.3">
      <c r="B1" s="74" t="s">
        <v>106</v>
      </c>
    </row>
    <row r="2" spans="2:9" x14ac:dyDescent="0.3">
      <c r="B2" s="68" t="s">
        <v>113</v>
      </c>
    </row>
    <row r="3" spans="2:9" x14ac:dyDescent="0.3">
      <c r="B3" s="68" t="s">
        <v>107</v>
      </c>
    </row>
    <row r="4" spans="2:9" x14ac:dyDescent="0.3">
      <c r="B4" s="68" t="s">
        <v>108</v>
      </c>
      <c r="C4" s="68" t="s">
        <v>109</v>
      </c>
    </row>
    <row r="5" spans="2:9" x14ac:dyDescent="0.3">
      <c r="B5" s="68" t="s">
        <v>110</v>
      </c>
      <c r="C5" s="71">
        <v>60</v>
      </c>
      <c r="D5" s="32"/>
      <c r="E5" s="32"/>
      <c r="F5" s="32"/>
      <c r="G5" s="32"/>
      <c r="H5" s="32"/>
    </row>
    <row r="6" spans="2:9" x14ac:dyDescent="0.3">
      <c r="B6" s="68" t="s">
        <v>111</v>
      </c>
      <c r="C6" s="75">
        <v>6</v>
      </c>
      <c r="D6" s="32"/>
      <c r="E6" s="32"/>
      <c r="F6" s="32"/>
      <c r="G6" s="32"/>
      <c r="H6" s="32"/>
    </row>
    <row r="7" spans="2:9" x14ac:dyDescent="0.3">
      <c r="B7" s="68" t="s">
        <v>112</v>
      </c>
      <c r="C7" s="76">
        <f>C5/C6</f>
        <v>10</v>
      </c>
      <c r="D7" s="32"/>
      <c r="E7" s="32"/>
      <c r="F7" s="32"/>
      <c r="G7" s="32"/>
      <c r="H7" s="32"/>
    </row>
    <row r="8" spans="2:9" x14ac:dyDescent="0.3">
      <c r="B8" s="68" t="s">
        <v>104</v>
      </c>
      <c r="C8" s="71">
        <v>60</v>
      </c>
      <c r="D8" s="71"/>
      <c r="E8" s="71"/>
      <c r="F8" s="71"/>
      <c r="G8" s="71"/>
      <c r="H8" s="32"/>
    </row>
    <row r="9" spans="2:9" x14ac:dyDescent="0.3">
      <c r="B9" s="11" t="s">
        <v>62</v>
      </c>
      <c r="C9" s="71"/>
      <c r="D9" s="71">
        <f>+$C$8/6</f>
        <v>10</v>
      </c>
      <c r="E9" s="71">
        <f>+$C$8/6</f>
        <v>10</v>
      </c>
      <c r="F9" s="71">
        <f>+$C$8/6</f>
        <v>10</v>
      </c>
      <c r="G9" s="71">
        <f>+$C$8/6</f>
        <v>10</v>
      </c>
      <c r="H9" s="32"/>
    </row>
    <row r="10" spans="2:9" x14ac:dyDescent="0.3">
      <c r="B10" s="11" t="s">
        <v>66</v>
      </c>
      <c r="C10" s="71">
        <f>+C8</f>
        <v>60</v>
      </c>
      <c r="D10" s="71">
        <f>+C10-D9</f>
        <v>50</v>
      </c>
      <c r="E10" s="71">
        <f>+D10-E9</f>
        <v>40</v>
      </c>
      <c r="F10" s="71">
        <f>+E10-F9</f>
        <v>30</v>
      </c>
      <c r="G10" s="71">
        <f>+F10-G9</f>
        <v>20</v>
      </c>
      <c r="H10" s="32"/>
      <c r="I10" s="68"/>
    </row>
    <row r="11" spans="2:9" x14ac:dyDescent="0.3">
      <c r="C11" s="31"/>
      <c r="D11" s="12"/>
    </row>
    <row r="12" spans="2:9" x14ac:dyDescent="0.3">
      <c r="C12" s="31"/>
      <c r="D12" s="12"/>
    </row>
    <row r="13" spans="2:9" x14ac:dyDescent="0.3">
      <c r="C13" s="31"/>
      <c r="D13" s="12"/>
    </row>
    <row r="14" spans="2:9" x14ac:dyDescent="0.3">
      <c r="C14" s="31"/>
      <c r="D14" s="12"/>
    </row>
    <row r="15" spans="2:9" x14ac:dyDescent="0.3">
      <c r="C15" s="31"/>
      <c r="D15" s="12"/>
    </row>
    <row r="16" spans="2:9" x14ac:dyDescent="0.3">
      <c r="C16" s="31"/>
      <c r="D16" s="12"/>
    </row>
    <row r="17" spans="3:4" x14ac:dyDescent="0.3">
      <c r="C17" s="31"/>
      <c r="D17" s="12"/>
    </row>
    <row r="18" spans="3:4" x14ac:dyDescent="0.3">
      <c r="C18" s="31"/>
      <c r="D18" s="12"/>
    </row>
    <row r="19" spans="3:4" x14ac:dyDescent="0.3">
      <c r="C19" s="31"/>
      <c r="D19" s="12"/>
    </row>
    <row r="20" spans="3:4" x14ac:dyDescent="0.3">
      <c r="C20" s="31"/>
      <c r="D20" s="12"/>
    </row>
    <row r="21" spans="3:4" x14ac:dyDescent="0.3">
      <c r="C21" s="31"/>
      <c r="D21" s="12"/>
    </row>
    <row r="22" spans="3:4" x14ac:dyDescent="0.3">
      <c r="C22" s="31"/>
      <c r="D22" s="12"/>
    </row>
    <row r="23" spans="3:4" x14ac:dyDescent="0.3">
      <c r="C23" s="31"/>
      <c r="D23" s="12"/>
    </row>
    <row r="24" spans="3:4" x14ac:dyDescent="0.3">
      <c r="C24" s="31"/>
      <c r="D24" s="12"/>
    </row>
    <row r="25" spans="3:4" x14ac:dyDescent="0.3">
      <c r="C25" s="31"/>
      <c r="D25" s="12"/>
    </row>
    <row r="26" spans="3:4" x14ac:dyDescent="0.3">
      <c r="C26" s="31"/>
      <c r="D26" s="12"/>
    </row>
    <row r="27" spans="3:4" x14ac:dyDescent="0.3">
      <c r="C27" s="31"/>
      <c r="D27" s="12"/>
    </row>
    <row r="28" spans="3:4" x14ac:dyDescent="0.3">
      <c r="C28" s="31"/>
      <c r="D28" s="12"/>
    </row>
    <row r="29" spans="3:4" x14ac:dyDescent="0.3">
      <c r="C29" s="31"/>
      <c r="D29" s="12"/>
    </row>
    <row r="30" spans="3:4" x14ac:dyDescent="0.3">
      <c r="C30" s="31"/>
      <c r="D30" s="12"/>
    </row>
    <row r="31" spans="3:4" x14ac:dyDescent="0.3">
      <c r="C31" s="31"/>
      <c r="D31" s="12"/>
    </row>
    <row r="32" spans="3:4" x14ac:dyDescent="0.3">
      <c r="C32" s="31"/>
      <c r="D32" s="12"/>
    </row>
    <row r="33" spans="3:4" x14ac:dyDescent="0.3">
      <c r="C33" s="31"/>
      <c r="D33" s="12"/>
    </row>
    <row r="34" spans="3:4" x14ac:dyDescent="0.3">
      <c r="C34" s="31"/>
      <c r="D34" s="12"/>
    </row>
    <row r="35" spans="3:4" x14ac:dyDescent="0.3">
      <c r="C35" s="31"/>
      <c r="D35" s="12"/>
    </row>
    <row r="36" spans="3:4" x14ac:dyDescent="0.3">
      <c r="C36" s="31"/>
      <c r="D36" s="12"/>
    </row>
    <row r="37" spans="3:4" x14ac:dyDescent="0.3">
      <c r="C37" s="31"/>
      <c r="D37" s="12"/>
    </row>
    <row r="38" spans="3:4" x14ac:dyDescent="0.3">
      <c r="C38" s="31"/>
      <c r="D38" s="12"/>
    </row>
    <row r="39" spans="3:4" x14ac:dyDescent="0.3">
      <c r="C39" s="31"/>
      <c r="D39" s="12"/>
    </row>
    <row r="40" spans="3:4" x14ac:dyDescent="0.3">
      <c r="C40" s="31"/>
      <c r="D40" s="12"/>
    </row>
    <row r="41" spans="3:4" x14ac:dyDescent="0.3">
      <c r="C41" s="31"/>
      <c r="D41" s="12"/>
    </row>
    <row r="42" spans="3:4" x14ac:dyDescent="0.3">
      <c r="C42" s="31"/>
      <c r="D42" s="12"/>
    </row>
    <row r="43" spans="3:4" x14ac:dyDescent="0.3">
      <c r="C43" s="31"/>
      <c r="D43" s="12"/>
    </row>
    <row r="44" spans="3:4" x14ac:dyDescent="0.3">
      <c r="C44" s="31"/>
      <c r="D44" s="12"/>
    </row>
    <row r="45" spans="3:4" x14ac:dyDescent="0.3">
      <c r="C45" s="31"/>
      <c r="D45" s="12"/>
    </row>
    <row r="46" spans="3:4" x14ac:dyDescent="0.3">
      <c r="C46" s="31"/>
      <c r="D46" s="12"/>
    </row>
    <row r="47" spans="3:4" x14ac:dyDescent="0.3">
      <c r="C47" s="31"/>
      <c r="D47" s="12"/>
    </row>
    <row r="48" spans="3:4" x14ac:dyDescent="0.3">
      <c r="C48" s="31"/>
      <c r="D48" s="12"/>
    </row>
    <row r="49" spans="3:4" x14ac:dyDescent="0.3">
      <c r="C49" s="31"/>
      <c r="D49" s="12"/>
    </row>
    <row r="50" spans="3:4" x14ac:dyDescent="0.3">
      <c r="C50" s="31"/>
      <c r="D50" s="12"/>
    </row>
    <row r="51" spans="3:4" x14ac:dyDescent="0.3">
      <c r="C51" s="31"/>
      <c r="D51" s="12"/>
    </row>
    <row r="52" spans="3:4" x14ac:dyDescent="0.3">
      <c r="C52" s="31"/>
      <c r="D52" s="12"/>
    </row>
    <row r="53" spans="3:4" x14ac:dyDescent="0.3">
      <c r="C53" s="31"/>
      <c r="D53" s="12"/>
    </row>
    <row r="54" spans="3:4" x14ac:dyDescent="0.3">
      <c r="C54" s="31"/>
      <c r="D54" s="12"/>
    </row>
    <row r="55" spans="3:4" x14ac:dyDescent="0.3">
      <c r="C55" s="31"/>
      <c r="D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F254-291E-418E-A5BE-E5327316EF1A}">
  <dimension ref="A2:J84"/>
  <sheetViews>
    <sheetView topLeftCell="A4" zoomScale="115" zoomScaleNormal="115" workbookViewId="0">
      <selection activeCell="C28" sqref="C28:H35"/>
    </sheetView>
  </sheetViews>
  <sheetFormatPr defaultColWidth="7.69921875" defaultRowHeight="14.4" x14ac:dyDescent="0.3"/>
  <cols>
    <col min="1" max="1" width="7.69921875" style="11"/>
    <col min="2" max="2" width="18.09765625" style="11" customWidth="1"/>
    <col min="3" max="16384" width="7.69921875" style="11"/>
  </cols>
  <sheetData>
    <row r="2" spans="2:10" ht="15.6" x14ac:dyDescent="0.3">
      <c r="B2" s="46" t="s">
        <v>54</v>
      </c>
      <c r="C2" s="47">
        <v>0.1</v>
      </c>
      <c r="D2" s="46"/>
      <c r="F2" s="46"/>
    </row>
    <row r="3" spans="2:10" ht="15.6" x14ac:dyDescent="0.3">
      <c r="B3" s="62" t="s">
        <v>73</v>
      </c>
      <c r="C3" s="47">
        <v>0.3</v>
      </c>
    </row>
    <row r="4" spans="2:10" x14ac:dyDescent="0.3">
      <c r="I4" s="62"/>
    </row>
    <row r="5" spans="2:10" x14ac:dyDescent="0.3">
      <c r="C5" s="43">
        <v>0</v>
      </c>
      <c r="D5" s="43">
        <f>1+C5</f>
        <v>1</v>
      </c>
      <c r="E5" s="43">
        <f>1+D5</f>
        <v>2</v>
      </c>
      <c r="F5" s="43">
        <f>1+E5</f>
        <v>3</v>
      </c>
      <c r="G5" s="43">
        <f>1+F5</f>
        <v>4</v>
      </c>
      <c r="H5" s="43">
        <f>1+G5</f>
        <v>5</v>
      </c>
    </row>
    <row r="6" spans="2:10" x14ac:dyDescent="0.3">
      <c r="B6" s="11" t="s">
        <v>70</v>
      </c>
      <c r="C6" s="32"/>
      <c r="D6" s="42"/>
      <c r="E6" s="42"/>
      <c r="F6" s="42"/>
      <c r="G6" s="42"/>
      <c r="H6" s="32"/>
      <c r="I6" s="62"/>
    </row>
    <row r="7" spans="2:10" x14ac:dyDescent="0.3">
      <c r="B7" s="11" t="s">
        <v>69</v>
      </c>
      <c r="C7" s="32"/>
      <c r="D7" s="42"/>
      <c r="E7" s="42"/>
      <c r="F7" s="42"/>
      <c r="G7" s="42"/>
      <c r="H7" s="32"/>
      <c r="I7" s="62"/>
    </row>
    <row r="8" spans="2:10" x14ac:dyDescent="0.3">
      <c r="B8" s="11" t="s">
        <v>68</v>
      </c>
      <c r="C8" s="32"/>
      <c r="D8" s="42"/>
      <c r="E8" s="42"/>
      <c r="F8" s="42"/>
      <c r="G8" s="42"/>
      <c r="H8" s="32"/>
      <c r="J8" s="62"/>
    </row>
    <row r="9" spans="2:10" x14ac:dyDescent="0.3">
      <c r="B9" s="41" t="s">
        <v>62</v>
      </c>
      <c r="C9" s="45"/>
      <c r="D9" s="40"/>
      <c r="E9" s="40"/>
      <c r="F9" s="40"/>
      <c r="G9" s="40"/>
      <c r="H9" s="45"/>
    </row>
    <row r="10" spans="2:10" x14ac:dyDescent="0.3">
      <c r="B10" s="11" t="s">
        <v>26</v>
      </c>
      <c r="C10" s="32"/>
      <c r="D10" s="42"/>
      <c r="E10" s="42"/>
      <c r="F10" s="42"/>
      <c r="G10" s="42"/>
      <c r="H10" s="32"/>
    </row>
    <row r="11" spans="2:10" x14ac:dyDescent="0.3">
      <c r="B11" s="41" t="s">
        <v>67</v>
      </c>
      <c r="C11" s="45"/>
      <c r="D11" s="40"/>
      <c r="E11" s="40"/>
      <c r="F11" s="40"/>
      <c r="G11" s="40"/>
      <c r="H11" s="45"/>
    </row>
    <row r="12" spans="2:10" x14ac:dyDescent="0.3">
      <c r="B12" s="11" t="s">
        <v>27</v>
      </c>
      <c r="C12" s="32"/>
      <c r="D12" s="42"/>
      <c r="E12" s="42"/>
      <c r="F12" s="42"/>
      <c r="G12" s="42"/>
      <c r="H12" s="32"/>
    </row>
    <row r="13" spans="2:10" x14ac:dyDescent="0.3">
      <c r="C13" s="32"/>
      <c r="D13" s="32"/>
      <c r="E13" s="32"/>
      <c r="F13" s="32"/>
      <c r="G13" s="32"/>
      <c r="H13" s="32"/>
    </row>
    <row r="14" spans="2:10" x14ac:dyDescent="0.3">
      <c r="B14" s="11" t="s">
        <v>28</v>
      </c>
      <c r="C14" s="42"/>
      <c r="D14" s="42"/>
      <c r="E14" s="42"/>
      <c r="F14" s="42"/>
      <c r="G14" s="42"/>
      <c r="H14" s="32"/>
      <c r="I14" s="62"/>
    </row>
    <row r="15" spans="2:10" x14ac:dyDescent="0.3">
      <c r="B15" s="11" t="s">
        <v>62</v>
      </c>
      <c r="C15" s="42"/>
      <c r="D15" s="42"/>
      <c r="E15" s="42"/>
      <c r="F15" s="42"/>
      <c r="G15" s="42"/>
      <c r="H15" s="32"/>
      <c r="I15" s="62"/>
    </row>
    <row r="16" spans="2:10" x14ac:dyDescent="0.3">
      <c r="B16" s="11" t="s">
        <v>66</v>
      </c>
      <c r="C16" s="42"/>
      <c r="D16" s="42"/>
      <c r="E16" s="42"/>
      <c r="F16" s="42"/>
      <c r="G16" s="42"/>
      <c r="H16" s="32"/>
      <c r="I16" s="62"/>
    </row>
    <row r="17" spans="2:9" x14ac:dyDescent="0.3">
      <c r="B17" s="11" t="s">
        <v>65</v>
      </c>
      <c r="C17" s="42"/>
      <c r="D17" s="42"/>
      <c r="E17" s="42"/>
      <c r="F17" s="42"/>
      <c r="G17" s="42"/>
      <c r="H17" s="32"/>
      <c r="I17" s="62"/>
    </row>
    <row r="18" spans="2:9" x14ac:dyDescent="0.3">
      <c r="C18" s="42"/>
      <c r="D18" s="42"/>
      <c r="E18" s="42"/>
      <c r="F18" s="42"/>
      <c r="G18" s="42"/>
      <c r="H18" s="32"/>
    </row>
    <row r="19" spans="2:9" x14ac:dyDescent="0.3">
      <c r="B19" s="62" t="s">
        <v>74</v>
      </c>
    </row>
    <row r="20" spans="2:9" x14ac:dyDescent="0.3">
      <c r="B20" s="11" t="s">
        <v>64</v>
      </c>
      <c r="D20" s="44"/>
      <c r="E20" s="44"/>
      <c r="F20" s="44"/>
      <c r="G20" s="44"/>
      <c r="H20" s="44"/>
      <c r="I20" s="62"/>
    </row>
    <row r="21" spans="2:9" x14ac:dyDescent="0.3">
      <c r="D21" s="44"/>
      <c r="E21" s="44"/>
      <c r="F21" s="44"/>
      <c r="G21" s="44"/>
      <c r="H21" s="44"/>
    </row>
    <row r="22" spans="2:9" x14ac:dyDescent="0.3">
      <c r="B22" s="11" t="s">
        <v>29</v>
      </c>
      <c r="D22" s="44"/>
      <c r="E22" s="44"/>
      <c r="F22" s="44"/>
      <c r="G22" s="44"/>
      <c r="H22" s="44"/>
      <c r="I22" s="62"/>
    </row>
    <row r="23" spans="2:9" x14ac:dyDescent="0.3">
      <c r="B23" s="11" t="s">
        <v>34</v>
      </c>
      <c r="D23" s="44"/>
      <c r="E23" s="44"/>
      <c r="F23" s="44"/>
      <c r="G23" s="44"/>
      <c r="H23" s="44"/>
    </row>
    <row r="25" spans="2:9" x14ac:dyDescent="0.3">
      <c r="B25" s="11" t="s">
        <v>63</v>
      </c>
    </row>
    <row r="27" spans="2:9" x14ac:dyDescent="0.3">
      <c r="C27" s="43">
        <v>0</v>
      </c>
      <c r="D27" s="43">
        <f>1+C27</f>
        <v>1</v>
      </c>
      <c r="E27" s="43">
        <f>1+D27</f>
        <v>2</v>
      </c>
      <c r="F27" s="43">
        <f>1+E27</f>
        <v>3</v>
      </c>
      <c r="G27" s="43">
        <f>1+F27</f>
        <v>4</v>
      </c>
      <c r="H27" s="43">
        <f>1+G27</f>
        <v>5</v>
      </c>
    </row>
    <row r="28" spans="2:9" x14ac:dyDescent="0.3">
      <c r="B28" s="11" t="s">
        <v>27</v>
      </c>
      <c r="C28" s="42"/>
      <c r="D28" s="42"/>
      <c r="E28" s="42"/>
      <c r="F28" s="42"/>
      <c r="G28" s="42"/>
      <c r="H28" s="42"/>
    </row>
    <row r="29" spans="2:9" x14ac:dyDescent="0.3">
      <c r="B29" s="11" t="s">
        <v>62</v>
      </c>
      <c r="C29" s="42"/>
      <c r="D29" s="42"/>
      <c r="E29" s="42"/>
      <c r="F29" s="42"/>
      <c r="G29" s="42"/>
      <c r="H29" s="42"/>
    </row>
    <row r="30" spans="2:9" x14ac:dyDescent="0.3">
      <c r="B30" s="11" t="s">
        <v>28</v>
      </c>
      <c r="C30" s="42"/>
      <c r="D30" s="42"/>
      <c r="E30" s="42"/>
      <c r="F30" s="42"/>
      <c r="G30" s="42"/>
      <c r="H30" s="42"/>
    </row>
    <row r="31" spans="2:9" x14ac:dyDescent="0.3">
      <c r="B31" s="11" t="s">
        <v>61</v>
      </c>
      <c r="C31" s="42"/>
      <c r="D31" s="42"/>
      <c r="E31" s="42"/>
      <c r="F31" s="42"/>
      <c r="G31" s="42"/>
      <c r="H31" s="42"/>
    </row>
    <row r="32" spans="2:9" x14ac:dyDescent="0.3">
      <c r="B32" s="41" t="s">
        <v>34</v>
      </c>
      <c r="C32" s="40"/>
      <c r="D32" s="40"/>
      <c r="E32" s="40"/>
      <c r="F32" s="40"/>
      <c r="G32" s="40"/>
      <c r="H32" s="40"/>
    </row>
    <row r="33" spans="1:8" x14ac:dyDescent="0.3">
      <c r="A33" s="11" t="s">
        <v>53</v>
      </c>
      <c r="B33" s="39" t="s">
        <v>30</v>
      </c>
      <c r="C33" s="38"/>
      <c r="D33" s="38"/>
      <c r="E33" s="38"/>
      <c r="F33" s="38"/>
      <c r="G33" s="38"/>
      <c r="H33" s="38"/>
    </row>
    <row r="34" spans="1:8" x14ac:dyDescent="0.3">
      <c r="A34" s="11" t="s">
        <v>51</v>
      </c>
      <c r="B34" s="37" t="s">
        <v>31</v>
      </c>
      <c r="C34" s="35"/>
      <c r="D34" s="35"/>
      <c r="E34" s="35"/>
      <c r="F34" s="35"/>
      <c r="G34" s="35"/>
      <c r="H34" s="35"/>
    </row>
    <row r="35" spans="1:8" x14ac:dyDescent="0.3">
      <c r="B35" s="36" t="s">
        <v>60</v>
      </c>
      <c r="C35" s="35"/>
      <c r="D35" s="35"/>
      <c r="E35" s="35"/>
      <c r="F35" s="35"/>
      <c r="G35" s="35"/>
      <c r="H35" s="35"/>
    </row>
    <row r="36" spans="1:8" x14ac:dyDescent="0.3">
      <c r="A36" s="11" t="s">
        <v>49</v>
      </c>
      <c r="B36" s="34" t="s">
        <v>35</v>
      </c>
      <c r="C36" s="33"/>
      <c r="D36" s="32"/>
      <c r="E36" s="32"/>
      <c r="F36" s="32"/>
      <c r="G36" s="32"/>
      <c r="H36" s="32"/>
    </row>
    <row r="39" spans="1:8" x14ac:dyDescent="0.3">
      <c r="C39" s="14"/>
      <c r="D39" s="12"/>
    </row>
    <row r="40" spans="1:8" x14ac:dyDescent="0.3">
      <c r="C40" s="31"/>
      <c r="D40" s="12"/>
    </row>
    <row r="41" spans="1:8" x14ac:dyDescent="0.3">
      <c r="C41" s="31"/>
      <c r="D41" s="12"/>
    </row>
    <row r="42" spans="1:8" x14ac:dyDescent="0.3">
      <c r="C42" s="31"/>
      <c r="D42" s="12"/>
    </row>
    <row r="43" spans="1:8" x14ac:dyDescent="0.3">
      <c r="C43" s="31"/>
      <c r="D43" s="12"/>
    </row>
    <row r="44" spans="1:8" x14ac:dyDescent="0.3">
      <c r="C44" s="31"/>
      <c r="D44" s="12"/>
    </row>
    <row r="45" spans="1:8" x14ac:dyDescent="0.3">
      <c r="C45" s="31"/>
      <c r="D45" s="12"/>
    </row>
    <row r="46" spans="1:8" x14ac:dyDescent="0.3">
      <c r="C46" s="31"/>
      <c r="D46" s="12"/>
    </row>
    <row r="47" spans="1:8" x14ac:dyDescent="0.3">
      <c r="C47" s="31"/>
      <c r="D47" s="12"/>
    </row>
    <row r="48" spans="1:8" x14ac:dyDescent="0.3">
      <c r="C48" s="31"/>
      <c r="D48" s="12"/>
    </row>
    <row r="49" spans="3:4" x14ac:dyDescent="0.3">
      <c r="C49" s="31"/>
      <c r="D49" s="12"/>
    </row>
    <row r="50" spans="3:4" x14ac:dyDescent="0.3">
      <c r="C50" s="31"/>
      <c r="D50" s="12"/>
    </row>
    <row r="51" spans="3:4" x14ac:dyDescent="0.3">
      <c r="C51" s="31"/>
      <c r="D51" s="12"/>
    </row>
    <row r="52" spans="3:4" x14ac:dyDescent="0.3">
      <c r="C52" s="31"/>
      <c r="D52" s="12"/>
    </row>
    <row r="53" spans="3:4" x14ac:dyDescent="0.3">
      <c r="C53" s="31"/>
      <c r="D53" s="12"/>
    </row>
    <row r="54" spans="3:4" x14ac:dyDescent="0.3">
      <c r="C54" s="31"/>
      <c r="D54" s="12"/>
    </row>
    <row r="55" spans="3:4" x14ac:dyDescent="0.3">
      <c r="C55" s="31"/>
      <c r="D55" s="12"/>
    </row>
    <row r="56" spans="3:4" x14ac:dyDescent="0.3">
      <c r="C56" s="31"/>
      <c r="D56" s="12"/>
    </row>
    <row r="57" spans="3:4" x14ac:dyDescent="0.3">
      <c r="C57" s="31"/>
      <c r="D57" s="12"/>
    </row>
    <row r="58" spans="3:4" x14ac:dyDescent="0.3">
      <c r="C58" s="31"/>
      <c r="D58" s="12"/>
    </row>
    <row r="59" spans="3:4" x14ac:dyDescent="0.3">
      <c r="C59" s="31"/>
      <c r="D59" s="12"/>
    </row>
    <row r="60" spans="3:4" x14ac:dyDescent="0.3">
      <c r="C60" s="31"/>
      <c r="D60" s="12"/>
    </row>
    <row r="61" spans="3:4" x14ac:dyDescent="0.3">
      <c r="C61" s="31"/>
      <c r="D61" s="12"/>
    </row>
    <row r="62" spans="3:4" x14ac:dyDescent="0.3">
      <c r="C62" s="31"/>
      <c r="D62" s="12"/>
    </row>
    <row r="63" spans="3:4" x14ac:dyDescent="0.3">
      <c r="C63" s="31"/>
      <c r="D63" s="12"/>
    </row>
    <row r="64" spans="3:4" x14ac:dyDescent="0.3">
      <c r="C64" s="31"/>
      <c r="D64" s="12"/>
    </row>
    <row r="65" spans="3:4" x14ac:dyDescent="0.3">
      <c r="C65" s="31"/>
      <c r="D65" s="12"/>
    </row>
    <row r="66" spans="3:4" x14ac:dyDescent="0.3">
      <c r="C66" s="31"/>
      <c r="D66" s="12"/>
    </row>
    <row r="67" spans="3:4" x14ac:dyDescent="0.3">
      <c r="C67" s="31"/>
      <c r="D67" s="12"/>
    </row>
    <row r="68" spans="3:4" x14ac:dyDescent="0.3">
      <c r="C68" s="31"/>
      <c r="D68" s="12"/>
    </row>
    <row r="69" spans="3:4" x14ac:dyDescent="0.3">
      <c r="C69" s="31"/>
      <c r="D69" s="12"/>
    </row>
    <row r="70" spans="3:4" x14ac:dyDescent="0.3">
      <c r="C70" s="31"/>
      <c r="D70" s="12"/>
    </row>
    <row r="71" spans="3:4" x14ac:dyDescent="0.3">
      <c r="C71" s="31"/>
      <c r="D71" s="12"/>
    </row>
    <row r="72" spans="3:4" x14ac:dyDescent="0.3">
      <c r="C72" s="31"/>
      <c r="D72" s="12"/>
    </row>
    <row r="73" spans="3:4" x14ac:dyDescent="0.3">
      <c r="C73" s="31"/>
      <c r="D73" s="12"/>
    </row>
    <row r="74" spans="3:4" x14ac:dyDescent="0.3">
      <c r="C74" s="31"/>
      <c r="D74" s="12"/>
    </row>
    <row r="75" spans="3:4" x14ac:dyDescent="0.3">
      <c r="C75" s="31"/>
      <c r="D75" s="12"/>
    </row>
    <row r="76" spans="3:4" x14ac:dyDescent="0.3">
      <c r="C76" s="31"/>
      <c r="D76" s="12"/>
    </row>
    <row r="77" spans="3:4" x14ac:dyDescent="0.3">
      <c r="C77" s="31"/>
      <c r="D77" s="12"/>
    </row>
    <row r="78" spans="3:4" x14ac:dyDescent="0.3">
      <c r="C78" s="31"/>
      <c r="D78" s="12"/>
    </row>
    <row r="79" spans="3:4" x14ac:dyDescent="0.3">
      <c r="C79" s="31"/>
      <c r="D79" s="12"/>
    </row>
    <row r="80" spans="3:4" x14ac:dyDescent="0.3">
      <c r="C80" s="31"/>
      <c r="D80" s="12"/>
    </row>
    <row r="81" spans="3:4" x14ac:dyDescent="0.3">
      <c r="C81" s="31"/>
      <c r="D81" s="12"/>
    </row>
    <row r="82" spans="3:4" x14ac:dyDescent="0.3">
      <c r="C82" s="31"/>
      <c r="D82" s="12"/>
    </row>
    <row r="83" spans="3:4" x14ac:dyDescent="0.3">
      <c r="C83" s="31"/>
      <c r="D83" s="12"/>
    </row>
    <row r="84" spans="3:4" x14ac:dyDescent="0.3">
      <c r="C84" s="31"/>
      <c r="D8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2"/>
  <sheetViews>
    <sheetView zoomScale="130" zoomScaleNormal="130" zoomScalePageLayoutView="130" workbookViewId="0">
      <selection activeCell="G34" sqref="G34"/>
    </sheetView>
  </sheetViews>
  <sheetFormatPr defaultColWidth="7.69921875" defaultRowHeight="14.4" x14ac:dyDescent="0.3"/>
  <cols>
    <col min="1" max="1" width="7.69921875" style="11"/>
    <col min="2" max="2" width="18.09765625" style="11" customWidth="1"/>
    <col min="3" max="16384" width="7.69921875" style="11"/>
  </cols>
  <sheetData>
    <row r="2" spans="2:9" ht="15.6" x14ac:dyDescent="0.3">
      <c r="B2" s="46" t="s">
        <v>54</v>
      </c>
      <c r="C2" s="47">
        <v>0.1</v>
      </c>
      <c r="D2" s="46"/>
      <c r="F2" s="46"/>
    </row>
    <row r="4" spans="2:9" x14ac:dyDescent="0.3">
      <c r="I4" s="62" t="s">
        <v>71</v>
      </c>
    </row>
    <row r="5" spans="2:9" x14ac:dyDescent="0.3">
      <c r="C5" s="43">
        <v>0</v>
      </c>
      <c r="D5" s="43">
        <f>1+C5</f>
        <v>1</v>
      </c>
      <c r="E5" s="43">
        <f>1+D5</f>
        <v>2</v>
      </c>
      <c r="F5" s="43">
        <f>1+E5</f>
        <v>3</v>
      </c>
      <c r="G5" s="43">
        <f>1+F5</f>
        <v>4</v>
      </c>
      <c r="H5" s="43">
        <f>1+G5</f>
        <v>5</v>
      </c>
    </row>
    <row r="6" spans="2:9" x14ac:dyDescent="0.3">
      <c r="B6" s="11" t="s">
        <v>70</v>
      </c>
      <c r="C6" s="32"/>
      <c r="D6" s="42">
        <v>80</v>
      </c>
      <c r="E6" s="42">
        <v>80</v>
      </c>
      <c r="F6" s="42">
        <v>80</v>
      </c>
      <c r="G6" s="42">
        <v>80</v>
      </c>
      <c r="H6" s="32"/>
    </row>
    <row r="7" spans="2:9" x14ac:dyDescent="0.3">
      <c r="B7" s="11" t="s">
        <v>69</v>
      </c>
      <c r="C7" s="32"/>
      <c r="D7" s="42">
        <v>50</v>
      </c>
      <c r="E7" s="42">
        <v>50</v>
      </c>
      <c r="F7" s="42">
        <v>50</v>
      </c>
      <c r="G7" s="42">
        <v>50</v>
      </c>
      <c r="H7" s="32"/>
      <c r="I7" s="62" t="s">
        <v>72</v>
      </c>
    </row>
    <row r="8" spans="2:9" x14ac:dyDescent="0.3">
      <c r="B8" s="11" t="s">
        <v>68</v>
      </c>
      <c r="C8" s="32"/>
      <c r="D8" s="42">
        <f>0.12*D6</f>
        <v>9.6</v>
      </c>
      <c r="E8" s="42">
        <f>0.12*E6</f>
        <v>9.6</v>
      </c>
      <c r="F8" s="42">
        <f>0.12*F6</f>
        <v>9.6</v>
      </c>
      <c r="G8" s="42">
        <f>0.12*G6</f>
        <v>9.6</v>
      </c>
      <c r="H8" s="32"/>
    </row>
    <row r="9" spans="2:9" x14ac:dyDescent="0.3">
      <c r="B9" s="41" t="s">
        <v>62</v>
      </c>
      <c r="C9" s="45"/>
      <c r="D9" s="40">
        <f>+D15</f>
        <v>10</v>
      </c>
      <c r="E9" s="40">
        <f>+E15</f>
        <v>10</v>
      </c>
      <c r="F9" s="40">
        <f>+F15</f>
        <v>10</v>
      </c>
      <c r="G9" s="40">
        <f>+G15</f>
        <v>10</v>
      </c>
      <c r="H9" s="45"/>
    </row>
    <row r="10" spans="2:9" x14ac:dyDescent="0.3">
      <c r="B10" s="11" t="s">
        <v>26</v>
      </c>
      <c r="C10" s="32"/>
      <c r="D10" s="42">
        <f>+D6-D7-D8-D9</f>
        <v>10.399999999999999</v>
      </c>
      <c r="E10" s="42">
        <f>+E6-E7-E8-E9</f>
        <v>10.399999999999999</v>
      </c>
      <c r="F10" s="42">
        <f>+F6-F7-F8-F9</f>
        <v>10.399999999999999</v>
      </c>
      <c r="G10" s="42">
        <f>+G6-G7-G8-G9</f>
        <v>10.399999999999999</v>
      </c>
      <c r="H10" s="32"/>
    </row>
    <row r="11" spans="2:9" x14ac:dyDescent="0.3">
      <c r="B11" s="41" t="s">
        <v>67</v>
      </c>
      <c r="C11" s="45"/>
      <c r="D11" s="40">
        <f>0.3*D10</f>
        <v>3.1199999999999997</v>
      </c>
      <c r="E11" s="40">
        <f>0.3*E10</f>
        <v>3.1199999999999997</v>
      </c>
      <c r="F11" s="40">
        <f>0.3*F10</f>
        <v>3.1199999999999997</v>
      </c>
      <c r="G11" s="40">
        <f>0.3*G10</f>
        <v>3.1199999999999997</v>
      </c>
      <c r="H11" s="45"/>
    </row>
    <row r="12" spans="2:9" x14ac:dyDescent="0.3">
      <c r="B12" s="11" t="s">
        <v>27</v>
      </c>
      <c r="C12" s="32"/>
      <c r="D12" s="42">
        <f>+D10-D11</f>
        <v>7.2799999999999994</v>
      </c>
      <c r="E12" s="42">
        <f>+E10-E11</f>
        <v>7.2799999999999994</v>
      </c>
      <c r="F12" s="42">
        <f>+F10-F11</f>
        <v>7.2799999999999994</v>
      </c>
      <c r="G12" s="42">
        <f>+G10-G11</f>
        <v>7.2799999999999994</v>
      </c>
      <c r="H12" s="32"/>
    </row>
    <row r="13" spans="2:9" x14ac:dyDescent="0.3">
      <c r="C13" s="32"/>
      <c r="D13" s="32"/>
      <c r="E13" s="32"/>
      <c r="F13" s="32"/>
      <c r="G13" s="32"/>
      <c r="H13" s="32"/>
    </row>
    <row r="14" spans="2:9" x14ac:dyDescent="0.3">
      <c r="B14" s="11" t="s">
        <v>28</v>
      </c>
      <c r="C14" s="42">
        <v>60</v>
      </c>
      <c r="D14" s="42"/>
      <c r="E14" s="42"/>
      <c r="F14" s="42"/>
      <c r="G14" s="42"/>
      <c r="H14" s="32"/>
    </row>
    <row r="15" spans="2:9" x14ac:dyDescent="0.3">
      <c r="B15" s="11" t="s">
        <v>62</v>
      </c>
      <c r="C15" s="42"/>
      <c r="D15" s="42">
        <f>+$C$14/6</f>
        <v>10</v>
      </c>
      <c r="E15" s="42">
        <f>+$C$14/6</f>
        <v>10</v>
      </c>
      <c r="F15" s="42">
        <f>+$C$14/6</f>
        <v>10</v>
      </c>
      <c r="G15" s="42">
        <f>+$C$14/6</f>
        <v>10</v>
      </c>
      <c r="H15" s="32"/>
    </row>
    <row r="16" spans="2:9" x14ac:dyDescent="0.3">
      <c r="B16" s="11" t="s">
        <v>66</v>
      </c>
      <c r="C16" s="42">
        <f>+C14</f>
        <v>60</v>
      </c>
      <c r="D16" s="42">
        <f>+C16-D15</f>
        <v>50</v>
      </c>
      <c r="E16" s="42">
        <f>+D16-E15</f>
        <v>40</v>
      </c>
      <c r="F16" s="42">
        <f>+E16-F15</f>
        <v>30</v>
      </c>
      <c r="G16" s="42">
        <f>+F16-G15</f>
        <v>20</v>
      </c>
      <c r="H16" s="32"/>
    </row>
    <row r="17" spans="1:8" x14ac:dyDescent="0.3">
      <c r="B17" s="11" t="s">
        <v>65</v>
      </c>
      <c r="C17" s="42"/>
      <c r="D17" s="42"/>
      <c r="E17" s="42"/>
      <c r="F17" s="42"/>
      <c r="G17" s="42">
        <f>25-0.3*(25-20)</f>
        <v>23.5</v>
      </c>
      <c r="H17" s="32"/>
    </row>
    <row r="19" spans="1:8" x14ac:dyDescent="0.3">
      <c r="B19" s="11" t="s">
        <v>64</v>
      </c>
      <c r="D19" s="44">
        <f>100%*D7</f>
        <v>50</v>
      </c>
      <c r="E19" s="44">
        <f>100%*E7</f>
        <v>50</v>
      </c>
      <c r="F19" s="44">
        <f>100%*F7</f>
        <v>50</v>
      </c>
      <c r="G19" s="44">
        <f>100%*G7</f>
        <v>50</v>
      </c>
      <c r="H19" s="44"/>
    </row>
    <row r="20" spans="1:8" x14ac:dyDescent="0.3">
      <c r="B20" s="11" t="s">
        <v>29</v>
      </c>
      <c r="D20" s="44">
        <f>-D19</f>
        <v>-50</v>
      </c>
      <c r="E20" s="44">
        <f>-E19</f>
        <v>-50</v>
      </c>
      <c r="F20" s="44">
        <f>-F19</f>
        <v>-50</v>
      </c>
      <c r="G20" s="44">
        <f>-G19</f>
        <v>-50</v>
      </c>
      <c r="H20" s="44"/>
    </row>
    <row r="21" spans="1:8" x14ac:dyDescent="0.3">
      <c r="B21" s="11" t="s">
        <v>34</v>
      </c>
      <c r="D21" s="44">
        <f>+D20-C20</f>
        <v>-50</v>
      </c>
      <c r="E21" s="44">
        <f>+E20-D20</f>
        <v>0</v>
      </c>
      <c r="F21" s="44">
        <f>+F20-E20</f>
        <v>0</v>
      </c>
      <c r="G21" s="44">
        <f>+G20-F20</f>
        <v>0</v>
      </c>
      <c r="H21" s="44">
        <f>+H20-G20</f>
        <v>50</v>
      </c>
    </row>
    <row r="23" spans="1:8" x14ac:dyDescent="0.3">
      <c r="B23" s="11" t="s">
        <v>63</v>
      </c>
    </row>
    <row r="25" spans="1:8" x14ac:dyDescent="0.3">
      <c r="C25" s="43">
        <v>0</v>
      </c>
      <c r="D25" s="43">
        <f>1+C25</f>
        <v>1</v>
      </c>
      <c r="E25" s="43">
        <f>1+D25</f>
        <v>2</v>
      </c>
      <c r="F25" s="43">
        <f>1+E25</f>
        <v>3</v>
      </c>
      <c r="G25" s="43">
        <f>1+F25</f>
        <v>4</v>
      </c>
      <c r="H25" s="43">
        <f>1+G25</f>
        <v>5</v>
      </c>
    </row>
    <row r="26" spans="1:8" x14ac:dyDescent="0.3">
      <c r="B26" s="11" t="s">
        <v>27</v>
      </c>
      <c r="C26" s="42">
        <f t="shared" ref="C26:H26" si="0">+C12</f>
        <v>0</v>
      </c>
      <c r="D26" s="42">
        <f t="shared" si="0"/>
        <v>7.2799999999999994</v>
      </c>
      <c r="E26" s="42">
        <f t="shared" si="0"/>
        <v>7.2799999999999994</v>
      </c>
      <c r="F26" s="42">
        <f t="shared" si="0"/>
        <v>7.2799999999999994</v>
      </c>
      <c r="G26" s="42">
        <f t="shared" si="0"/>
        <v>7.2799999999999994</v>
      </c>
      <c r="H26" s="42">
        <f t="shared" si="0"/>
        <v>0</v>
      </c>
    </row>
    <row r="27" spans="1:8" x14ac:dyDescent="0.3">
      <c r="B27" s="11" t="s">
        <v>62</v>
      </c>
      <c r="C27" s="42">
        <f t="shared" ref="C27:H27" si="1">+C15</f>
        <v>0</v>
      </c>
      <c r="D27" s="42">
        <f t="shared" si="1"/>
        <v>10</v>
      </c>
      <c r="E27" s="42">
        <f t="shared" si="1"/>
        <v>10</v>
      </c>
      <c r="F27" s="42">
        <f t="shared" si="1"/>
        <v>10</v>
      </c>
      <c r="G27" s="42">
        <f t="shared" si="1"/>
        <v>10</v>
      </c>
      <c r="H27" s="42">
        <f t="shared" si="1"/>
        <v>0</v>
      </c>
    </row>
    <row r="28" spans="1:8" x14ac:dyDescent="0.3">
      <c r="B28" s="11" t="s">
        <v>28</v>
      </c>
      <c r="C28" s="42">
        <f>+C14</f>
        <v>60</v>
      </c>
      <c r="D28" s="42"/>
      <c r="E28" s="42"/>
      <c r="F28" s="42"/>
      <c r="G28" s="42"/>
      <c r="H28" s="42"/>
    </row>
    <row r="29" spans="1:8" x14ac:dyDescent="0.3">
      <c r="B29" s="11" t="s">
        <v>61</v>
      </c>
      <c r="C29" s="42"/>
      <c r="D29" s="42"/>
      <c r="E29" s="42"/>
      <c r="F29" s="42"/>
      <c r="G29" s="42">
        <f>+G17</f>
        <v>23.5</v>
      </c>
      <c r="H29" s="42"/>
    </row>
    <row r="30" spans="1:8" x14ac:dyDescent="0.3">
      <c r="B30" s="41" t="s">
        <v>34</v>
      </c>
      <c r="C30" s="40">
        <f t="shared" ref="C30:H30" si="2">+C21</f>
        <v>0</v>
      </c>
      <c r="D30" s="40">
        <f t="shared" si="2"/>
        <v>-50</v>
      </c>
      <c r="E30" s="40">
        <f t="shared" si="2"/>
        <v>0</v>
      </c>
      <c r="F30" s="40">
        <f t="shared" si="2"/>
        <v>0</v>
      </c>
      <c r="G30" s="40">
        <f t="shared" si="2"/>
        <v>0</v>
      </c>
      <c r="H30" s="40">
        <f t="shared" si="2"/>
        <v>50</v>
      </c>
    </row>
    <row r="31" spans="1:8" x14ac:dyDescent="0.3">
      <c r="A31" s="11" t="s">
        <v>53</v>
      </c>
      <c r="B31" s="39" t="s">
        <v>30</v>
      </c>
      <c r="C31" s="38">
        <f t="shared" ref="C31:H31" si="3">+C26+C27-C28+C29-C30</f>
        <v>-60</v>
      </c>
      <c r="D31" s="38">
        <f t="shared" si="3"/>
        <v>67.28</v>
      </c>
      <c r="E31" s="38">
        <f t="shared" si="3"/>
        <v>17.28</v>
      </c>
      <c r="F31" s="38">
        <f t="shared" si="3"/>
        <v>17.28</v>
      </c>
      <c r="G31" s="38">
        <f t="shared" si="3"/>
        <v>40.78</v>
      </c>
      <c r="H31" s="38">
        <f t="shared" si="3"/>
        <v>-50</v>
      </c>
    </row>
    <row r="32" spans="1:8" x14ac:dyDescent="0.3">
      <c r="A32" s="11" t="s">
        <v>51</v>
      </c>
      <c r="B32" s="37" t="s">
        <v>31</v>
      </c>
      <c r="C32" s="35">
        <f t="shared" ref="C32:H32" si="4">+C31/(1+$C$2)^C25</f>
        <v>-60</v>
      </c>
      <c r="D32" s="35">
        <f t="shared" si="4"/>
        <v>61.163636363636357</v>
      </c>
      <c r="E32" s="35">
        <f t="shared" si="4"/>
        <v>14.280991735537189</v>
      </c>
      <c r="F32" s="35">
        <f t="shared" si="4"/>
        <v>12.982719759579261</v>
      </c>
      <c r="G32" s="35">
        <f t="shared" si="4"/>
        <v>27.853288709787577</v>
      </c>
      <c r="H32" s="35">
        <f t="shared" si="4"/>
        <v>-31.046066152957749</v>
      </c>
    </row>
    <row r="33" spans="1:8" x14ac:dyDescent="0.3">
      <c r="B33" s="36" t="s">
        <v>60</v>
      </c>
      <c r="C33" s="35">
        <f>SUM(C32:H32)</f>
        <v>25.234570415582638</v>
      </c>
      <c r="D33" s="35"/>
      <c r="E33" s="35"/>
      <c r="F33" s="35"/>
      <c r="G33" s="35"/>
      <c r="H33" s="35"/>
    </row>
    <row r="34" spans="1:8" x14ac:dyDescent="0.3">
      <c r="A34" s="11" t="s">
        <v>49</v>
      </c>
      <c r="B34" s="34" t="s">
        <v>35</v>
      </c>
      <c r="C34" s="33">
        <f>IRR(C31:H31)</f>
        <v>0.48267253720866288</v>
      </c>
      <c r="D34" s="32"/>
      <c r="E34" s="32"/>
      <c r="F34" s="32"/>
      <c r="G34" s="32"/>
      <c r="H34" s="32"/>
    </row>
    <row r="35" spans="1:8" x14ac:dyDescent="0.3">
      <c r="B35" s="11" t="s">
        <v>59</v>
      </c>
    </row>
    <row r="37" spans="1:8" x14ac:dyDescent="0.3">
      <c r="C37" s="14"/>
      <c r="D37" s="12"/>
    </row>
    <row r="38" spans="1:8" x14ac:dyDescent="0.3">
      <c r="C38" s="31"/>
      <c r="D38" s="12"/>
    </row>
    <row r="39" spans="1:8" x14ac:dyDescent="0.3">
      <c r="C39" s="31"/>
      <c r="D39" s="12"/>
    </row>
    <row r="40" spans="1:8" x14ac:dyDescent="0.3">
      <c r="C40" s="31"/>
      <c r="D40" s="12"/>
    </row>
    <row r="41" spans="1:8" x14ac:dyDescent="0.3">
      <c r="C41" s="31"/>
      <c r="D41" s="12"/>
    </row>
    <row r="42" spans="1:8" x14ac:dyDescent="0.3">
      <c r="C42" s="31"/>
      <c r="D42" s="12"/>
    </row>
    <row r="43" spans="1:8" x14ac:dyDescent="0.3">
      <c r="C43" s="31"/>
      <c r="D43" s="12"/>
    </row>
    <row r="44" spans="1:8" x14ac:dyDescent="0.3">
      <c r="C44" s="31"/>
      <c r="D44" s="12"/>
    </row>
    <row r="45" spans="1:8" x14ac:dyDescent="0.3">
      <c r="C45" s="31"/>
      <c r="D45" s="12"/>
    </row>
    <row r="46" spans="1:8" x14ac:dyDescent="0.3">
      <c r="C46" s="31"/>
      <c r="D46" s="12"/>
    </row>
    <row r="47" spans="1:8" x14ac:dyDescent="0.3">
      <c r="C47" s="31"/>
      <c r="D47" s="12"/>
    </row>
    <row r="48" spans="1:8" x14ac:dyDescent="0.3">
      <c r="C48" s="31"/>
      <c r="D48" s="12"/>
    </row>
    <row r="49" spans="3:4" x14ac:dyDescent="0.3">
      <c r="C49" s="31"/>
      <c r="D49" s="12"/>
    </row>
    <row r="50" spans="3:4" x14ac:dyDescent="0.3">
      <c r="C50" s="31"/>
      <c r="D50" s="12"/>
    </row>
    <row r="51" spans="3:4" x14ac:dyDescent="0.3">
      <c r="C51" s="31"/>
      <c r="D51" s="12"/>
    </row>
    <row r="52" spans="3:4" x14ac:dyDescent="0.3">
      <c r="C52" s="31"/>
      <c r="D52" s="12"/>
    </row>
    <row r="53" spans="3:4" x14ac:dyDescent="0.3">
      <c r="C53" s="31"/>
      <c r="D53" s="12"/>
    </row>
    <row r="54" spans="3:4" x14ac:dyDescent="0.3">
      <c r="C54" s="31"/>
      <c r="D54" s="12"/>
    </row>
    <row r="55" spans="3:4" x14ac:dyDescent="0.3">
      <c r="C55" s="31"/>
      <c r="D55" s="12"/>
    </row>
    <row r="56" spans="3:4" x14ac:dyDescent="0.3">
      <c r="C56" s="31"/>
      <c r="D56" s="12"/>
    </row>
    <row r="57" spans="3:4" x14ac:dyDescent="0.3">
      <c r="C57" s="31"/>
      <c r="D57" s="12"/>
    </row>
    <row r="58" spans="3:4" x14ac:dyDescent="0.3">
      <c r="C58" s="31"/>
      <c r="D58" s="12"/>
    </row>
    <row r="59" spans="3:4" x14ac:dyDescent="0.3">
      <c r="C59" s="31"/>
      <c r="D59" s="12"/>
    </row>
    <row r="60" spans="3:4" x14ac:dyDescent="0.3">
      <c r="C60" s="31"/>
      <c r="D60" s="12"/>
    </row>
    <row r="61" spans="3:4" x14ac:dyDescent="0.3">
      <c r="C61" s="31"/>
      <c r="D61" s="12"/>
    </row>
    <row r="62" spans="3:4" x14ac:dyDescent="0.3">
      <c r="C62" s="31"/>
      <c r="D62" s="12"/>
    </row>
    <row r="63" spans="3:4" x14ac:dyDescent="0.3">
      <c r="C63" s="31"/>
      <c r="D63" s="12"/>
    </row>
    <row r="64" spans="3:4" x14ac:dyDescent="0.3">
      <c r="C64" s="31"/>
      <c r="D64" s="12"/>
    </row>
    <row r="65" spans="3:4" x14ac:dyDescent="0.3">
      <c r="C65" s="31"/>
      <c r="D65" s="12"/>
    </row>
    <row r="66" spans="3:4" x14ac:dyDescent="0.3">
      <c r="C66" s="31"/>
      <c r="D66" s="12"/>
    </row>
    <row r="67" spans="3:4" x14ac:dyDescent="0.3">
      <c r="C67" s="31"/>
      <c r="D67" s="12"/>
    </row>
    <row r="68" spans="3:4" x14ac:dyDescent="0.3">
      <c r="C68" s="31"/>
      <c r="D68" s="12"/>
    </row>
    <row r="69" spans="3:4" x14ac:dyDescent="0.3">
      <c r="C69" s="31"/>
      <c r="D69" s="12"/>
    </row>
    <row r="70" spans="3:4" x14ac:dyDescent="0.3">
      <c r="C70" s="31"/>
      <c r="D70" s="12"/>
    </row>
    <row r="71" spans="3:4" x14ac:dyDescent="0.3">
      <c r="C71" s="31"/>
      <c r="D71" s="12"/>
    </row>
    <row r="72" spans="3:4" x14ac:dyDescent="0.3">
      <c r="C72" s="31"/>
      <c r="D72" s="12"/>
    </row>
    <row r="73" spans="3:4" x14ac:dyDescent="0.3">
      <c r="C73" s="31"/>
      <c r="D73" s="12"/>
    </row>
    <row r="74" spans="3:4" x14ac:dyDescent="0.3">
      <c r="C74" s="31"/>
      <c r="D74" s="12"/>
    </row>
    <row r="75" spans="3:4" x14ac:dyDescent="0.3">
      <c r="C75" s="31"/>
      <c r="D75" s="12"/>
    </row>
    <row r="76" spans="3:4" x14ac:dyDescent="0.3">
      <c r="C76" s="31"/>
      <c r="D76" s="12"/>
    </row>
    <row r="77" spans="3:4" x14ac:dyDescent="0.3">
      <c r="C77" s="31"/>
      <c r="D77" s="12"/>
    </row>
    <row r="78" spans="3:4" x14ac:dyDescent="0.3">
      <c r="C78" s="31"/>
      <c r="D78" s="12"/>
    </row>
    <row r="79" spans="3:4" x14ac:dyDescent="0.3">
      <c r="C79" s="31"/>
      <c r="D79" s="12"/>
    </row>
    <row r="80" spans="3:4" x14ac:dyDescent="0.3">
      <c r="C80" s="31"/>
      <c r="D80" s="12"/>
    </row>
    <row r="81" spans="3:4" x14ac:dyDescent="0.3">
      <c r="C81" s="31"/>
      <c r="D81" s="12"/>
    </row>
    <row r="82" spans="3:4" x14ac:dyDescent="0.3">
      <c r="C82" s="31"/>
      <c r="D8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EE86D-18D0-41CC-B2B9-E44968ED3C36}">
  <dimension ref="B1:D6"/>
  <sheetViews>
    <sheetView workbookViewId="0">
      <selection activeCell="D5" sqref="D5"/>
    </sheetView>
  </sheetViews>
  <sheetFormatPr defaultRowHeight="15.6" x14ac:dyDescent="0.3"/>
  <sheetData>
    <row r="1" spans="2:4" x14ac:dyDescent="0.3">
      <c r="C1" t="s">
        <v>116</v>
      </c>
      <c r="D1">
        <v>0.1</v>
      </c>
    </row>
    <row r="2" spans="2:4" x14ac:dyDescent="0.3">
      <c r="C2" t="s">
        <v>57</v>
      </c>
      <c r="D2">
        <v>0.06</v>
      </c>
    </row>
    <row r="4" spans="2:4" x14ac:dyDescent="0.3">
      <c r="B4" t="s">
        <v>6</v>
      </c>
      <c r="C4" t="s">
        <v>121</v>
      </c>
      <c r="D4" t="s">
        <v>122</v>
      </c>
    </row>
    <row r="5" spans="2:4" x14ac:dyDescent="0.3">
      <c r="B5">
        <v>0</v>
      </c>
      <c r="D5">
        <f>C6/(D1-D2)</f>
        <v>24.999999999999996</v>
      </c>
    </row>
    <row r="6" spans="2:4" x14ac:dyDescent="0.3">
      <c r="B6">
        <v>1</v>
      </c>
      <c r="C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82EB-99ED-4B65-968E-50251E2E7B16}">
  <dimension ref="A2:E63"/>
  <sheetViews>
    <sheetView zoomScale="160" zoomScaleNormal="160" workbookViewId="0">
      <selection activeCell="D3" sqref="D3"/>
    </sheetView>
  </sheetViews>
  <sheetFormatPr defaultRowHeight="15.6" x14ac:dyDescent="0.3"/>
  <cols>
    <col min="1" max="1" width="11.09765625" bestFit="1" customWidth="1"/>
    <col min="5" max="5" width="10.5" bestFit="1" customWidth="1"/>
  </cols>
  <sheetData>
    <row r="2" spans="1:5" x14ac:dyDescent="0.3">
      <c r="A2" s="63" t="s">
        <v>1</v>
      </c>
      <c r="B2">
        <v>2.4E-2</v>
      </c>
      <c r="D2" t="s">
        <v>123</v>
      </c>
    </row>
    <row r="3" spans="1:5" x14ac:dyDescent="0.3">
      <c r="A3" t="s">
        <v>75</v>
      </c>
      <c r="B3" s="77">
        <f>B2/12</f>
        <v>2E-3</v>
      </c>
      <c r="D3">
        <v>0</v>
      </c>
      <c r="E3">
        <f>B8</f>
        <v>30000</v>
      </c>
    </row>
    <row r="4" spans="1:5" x14ac:dyDescent="0.3">
      <c r="A4" t="s">
        <v>118</v>
      </c>
      <c r="B4" s="79">
        <f>(1+B3)^B5-1</f>
        <v>2.4265767945403027E-2</v>
      </c>
      <c r="D4">
        <v>1</v>
      </c>
      <c r="E4" s="63">
        <f t="shared" ref="E4:E35" si="0">E3*(1+$B$3)+$B$9</f>
        <v>29528.900909221305</v>
      </c>
    </row>
    <row r="5" spans="1:5" x14ac:dyDescent="0.3">
      <c r="A5" t="s">
        <v>119</v>
      </c>
      <c r="B5">
        <v>12</v>
      </c>
      <c r="D5">
        <f>D4+1</f>
        <v>2</v>
      </c>
      <c r="E5" s="63">
        <f t="shared" si="0"/>
        <v>29056.859620261053</v>
      </c>
    </row>
    <row r="6" spans="1:5" x14ac:dyDescent="0.3">
      <c r="A6" t="s">
        <v>117</v>
      </c>
      <c r="B6">
        <v>5</v>
      </c>
      <c r="D6">
        <f t="shared" ref="D6:D63" si="1">D5+1</f>
        <v>3</v>
      </c>
      <c r="E6" s="63">
        <f t="shared" si="0"/>
        <v>28583.874248722881</v>
      </c>
    </row>
    <row r="7" spans="1:5" x14ac:dyDescent="0.3">
      <c r="A7" t="s">
        <v>76</v>
      </c>
      <c r="B7">
        <f>B5*B6</f>
        <v>60</v>
      </c>
      <c r="D7">
        <f t="shared" si="1"/>
        <v>4</v>
      </c>
      <c r="E7" s="63">
        <f t="shared" si="0"/>
        <v>28109.942906441633</v>
      </c>
    </row>
    <row r="8" spans="1:5" x14ac:dyDescent="0.3">
      <c r="A8" t="s">
        <v>77</v>
      </c>
      <c r="B8">
        <v>30000</v>
      </c>
      <c r="D8">
        <f t="shared" si="1"/>
        <v>5</v>
      </c>
      <c r="E8" s="63">
        <f t="shared" si="0"/>
        <v>27635.063701475821</v>
      </c>
    </row>
    <row r="9" spans="1:5" x14ac:dyDescent="0.3">
      <c r="A9" t="s">
        <v>120</v>
      </c>
      <c r="B9" s="63">
        <f>PMT(B3,B7,B8)</f>
        <v>-531.09909077869293</v>
      </c>
      <c r="D9">
        <f t="shared" si="1"/>
        <v>6</v>
      </c>
      <c r="E9" s="63">
        <f t="shared" si="0"/>
        <v>27159.23473810008</v>
      </c>
    </row>
    <row r="10" spans="1:5" x14ac:dyDescent="0.3">
      <c r="B10" s="63"/>
      <c r="D10">
        <f t="shared" si="1"/>
        <v>7</v>
      </c>
      <c r="E10" s="63">
        <f t="shared" si="0"/>
        <v>26682.454116797584</v>
      </c>
    </row>
    <row r="11" spans="1:5" x14ac:dyDescent="0.3">
      <c r="D11">
        <f t="shared" si="1"/>
        <v>8</v>
      </c>
      <c r="E11" s="63">
        <f t="shared" si="0"/>
        <v>26204.719934252484</v>
      </c>
    </row>
    <row r="12" spans="1:5" x14ac:dyDescent="0.3">
      <c r="D12">
        <f t="shared" si="1"/>
        <v>9</v>
      </c>
      <c r="E12" s="63">
        <f t="shared" si="0"/>
        <v>25726.030283342294</v>
      </c>
    </row>
    <row r="13" spans="1:5" x14ac:dyDescent="0.3">
      <c r="D13">
        <f t="shared" si="1"/>
        <v>10</v>
      </c>
      <c r="E13" s="63">
        <f t="shared" si="0"/>
        <v>25246.383253130283</v>
      </c>
    </row>
    <row r="14" spans="1:5" x14ac:dyDescent="0.3">
      <c r="D14">
        <f t="shared" si="1"/>
        <v>11</v>
      </c>
      <c r="E14" s="63">
        <f t="shared" si="0"/>
        <v>24765.776928857849</v>
      </c>
    </row>
    <row r="15" spans="1:5" x14ac:dyDescent="0.3">
      <c r="D15">
        <f t="shared" si="1"/>
        <v>12</v>
      </c>
      <c r="E15" s="63">
        <f t="shared" si="0"/>
        <v>24284.209391936871</v>
      </c>
    </row>
    <row r="16" spans="1:5" x14ac:dyDescent="0.3">
      <c r="D16">
        <f t="shared" si="1"/>
        <v>13</v>
      </c>
      <c r="E16" s="63">
        <f t="shared" si="0"/>
        <v>23801.678719942051</v>
      </c>
    </row>
    <row r="17" spans="4:5" x14ac:dyDescent="0.3">
      <c r="D17">
        <f t="shared" si="1"/>
        <v>14</v>
      </c>
      <c r="E17" s="63">
        <f t="shared" si="0"/>
        <v>23318.182986603239</v>
      </c>
    </row>
    <row r="18" spans="4:5" x14ac:dyDescent="0.3">
      <c r="D18">
        <f t="shared" si="1"/>
        <v>15</v>
      </c>
      <c r="E18" s="63">
        <f t="shared" si="0"/>
        <v>22833.720261797749</v>
      </c>
    </row>
    <row r="19" spans="4:5" x14ac:dyDescent="0.3">
      <c r="D19">
        <f t="shared" si="1"/>
        <v>16</v>
      </c>
      <c r="E19" s="63">
        <f t="shared" si="0"/>
        <v>22348.288611542652</v>
      </c>
    </row>
    <row r="20" spans="4:5" x14ac:dyDescent="0.3">
      <c r="D20">
        <f t="shared" si="1"/>
        <v>17</v>
      </c>
      <c r="E20" s="63">
        <f t="shared" si="0"/>
        <v>21861.886097987044</v>
      </c>
    </row>
    <row r="21" spans="4:5" x14ac:dyDescent="0.3">
      <c r="D21">
        <f t="shared" si="1"/>
        <v>18</v>
      </c>
      <c r="E21" s="63">
        <f t="shared" si="0"/>
        <v>21374.510779404325</v>
      </c>
    </row>
    <row r="22" spans="4:5" x14ac:dyDescent="0.3">
      <c r="D22">
        <f t="shared" si="1"/>
        <v>19</v>
      </c>
      <c r="E22" s="63">
        <f t="shared" si="0"/>
        <v>20886.160710184438</v>
      </c>
    </row>
    <row r="23" spans="4:5" x14ac:dyDescent="0.3">
      <c r="D23">
        <f t="shared" si="1"/>
        <v>20</v>
      </c>
      <c r="E23" s="63">
        <f t="shared" si="0"/>
        <v>20396.833940826113</v>
      </c>
    </row>
    <row r="24" spans="4:5" x14ac:dyDescent="0.3">
      <c r="D24">
        <f t="shared" si="1"/>
        <v>21</v>
      </c>
      <c r="E24" s="63">
        <f t="shared" si="0"/>
        <v>19906.528517929069</v>
      </c>
    </row>
    <row r="25" spans="4:5" x14ac:dyDescent="0.3">
      <c r="D25">
        <f t="shared" si="1"/>
        <v>22</v>
      </c>
      <c r="E25" s="63">
        <f t="shared" si="0"/>
        <v>19415.242484186234</v>
      </c>
    </row>
    <row r="26" spans="4:5" x14ac:dyDescent="0.3">
      <c r="D26">
        <f t="shared" si="1"/>
        <v>23</v>
      </c>
      <c r="E26" s="63">
        <f t="shared" si="0"/>
        <v>18922.973878375913</v>
      </c>
    </row>
    <row r="27" spans="4:5" x14ac:dyDescent="0.3">
      <c r="D27">
        <f t="shared" si="1"/>
        <v>24</v>
      </c>
      <c r="E27" s="63">
        <f t="shared" si="0"/>
        <v>18429.720735353971</v>
      </c>
    </row>
    <row r="28" spans="4:5" x14ac:dyDescent="0.3">
      <c r="D28">
        <f t="shared" si="1"/>
        <v>25</v>
      </c>
      <c r="E28" s="63">
        <f t="shared" si="0"/>
        <v>17935.481086045984</v>
      </c>
    </row>
    <row r="29" spans="4:5" x14ac:dyDescent="0.3">
      <c r="D29">
        <f t="shared" si="1"/>
        <v>26</v>
      </c>
      <c r="E29" s="63">
        <f t="shared" si="0"/>
        <v>17440.252957439381</v>
      </c>
    </row>
    <row r="30" spans="4:5" x14ac:dyDescent="0.3">
      <c r="D30">
        <f t="shared" si="1"/>
        <v>27</v>
      </c>
      <c r="E30" s="63">
        <f t="shared" si="0"/>
        <v>16944.034372575567</v>
      </c>
    </row>
    <row r="31" spans="4:5" x14ac:dyDescent="0.3">
      <c r="D31">
        <f t="shared" si="1"/>
        <v>28</v>
      </c>
      <c r="E31" s="63">
        <f t="shared" si="0"/>
        <v>16446.823350542025</v>
      </c>
    </row>
    <row r="32" spans="4:5" x14ac:dyDescent="0.3">
      <c r="D32">
        <f t="shared" si="1"/>
        <v>29</v>
      </c>
      <c r="E32" s="63">
        <f t="shared" si="0"/>
        <v>15948.617906464415</v>
      </c>
    </row>
    <row r="33" spans="4:5" x14ac:dyDescent="0.3">
      <c r="D33">
        <f t="shared" si="1"/>
        <v>30</v>
      </c>
      <c r="E33" s="63">
        <f t="shared" si="0"/>
        <v>15449.416051498651</v>
      </c>
    </row>
    <row r="34" spans="4:5" x14ac:dyDescent="0.3">
      <c r="D34">
        <f t="shared" si="1"/>
        <v>31</v>
      </c>
      <c r="E34" s="63">
        <f t="shared" si="0"/>
        <v>14949.215792822955</v>
      </c>
    </row>
    <row r="35" spans="4:5" x14ac:dyDescent="0.3">
      <c r="D35">
        <f t="shared" si="1"/>
        <v>32</v>
      </c>
      <c r="E35" s="63">
        <f t="shared" si="0"/>
        <v>14448.015133629908</v>
      </c>
    </row>
    <row r="36" spans="4:5" x14ac:dyDescent="0.3">
      <c r="D36">
        <f t="shared" si="1"/>
        <v>33</v>
      </c>
      <c r="E36" s="63">
        <f t="shared" ref="E36:E63" si="2">E35*(1+$B$3)+$B$9</f>
        <v>13945.812073118475</v>
      </c>
    </row>
    <row r="37" spans="4:5" x14ac:dyDescent="0.3">
      <c r="D37">
        <f t="shared" si="1"/>
        <v>34</v>
      </c>
      <c r="E37" s="63">
        <f t="shared" si="2"/>
        <v>13442.60460648602</v>
      </c>
    </row>
    <row r="38" spans="4:5" x14ac:dyDescent="0.3">
      <c r="D38">
        <f t="shared" si="1"/>
        <v>35</v>
      </c>
      <c r="E38" s="63">
        <f t="shared" si="2"/>
        <v>12938.3907249203</v>
      </c>
    </row>
    <row r="39" spans="4:5" x14ac:dyDescent="0.3">
      <c r="D39">
        <f t="shared" si="1"/>
        <v>36</v>
      </c>
      <c r="E39" s="63">
        <f t="shared" si="2"/>
        <v>12433.168415591448</v>
      </c>
    </row>
    <row r="40" spans="4:5" x14ac:dyDescent="0.3">
      <c r="D40">
        <f t="shared" si="1"/>
        <v>37</v>
      </c>
      <c r="E40" s="63">
        <f t="shared" si="2"/>
        <v>11926.935661643938</v>
      </c>
    </row>
    <row r="41" spans="4:5" x14ac:dyDescent="0.3">
      <c r="D41">
        <f t="shared" si="1"/>
        <v>38</v>
      </c>
      <c r="E41" s="63">
        <f t="shared" si="2"/>
        <v>11419.690442188534</v>
      </c>
    </row>
    <row r="42" spans="4:5" x14ac:dyDescent="0.3">
      <c r="D42">
        <f t="shared" si="1"/>
        <v>39</v>
      </c>
      <c r="E42" s="63">
        <f t="shared" si="2"/>
        <v>10911.430732294219</v>
      </c>
    </row>
    <row r="43" spans="4:5" x14ac:dyDescent="0.3">
      <c r="D43">
        <f t="shared" si="1"/>
        <v>40</v>
      </c>
      <c r="E43" s="63">
        <f t="shared" si="2"/>
        <v>10402.154502980115</v>
      </c>
    </row>
    <row r="44" spans="4:5" x14ac:dyDescent="0.3">
      <c r="D44">
        <f t="shared" si="1"/>
        <v>41</v>
      </c>
      <c r="E44" s="63">
        <f t="shared" si="2"/>
        <v>9891.8597212073819</v>
      </c>
    </row>
    <row r="45" spans="4:5" x14ac:dyDescent="0.3">
      <c r="D45">
        <f t="shared" si="1"/>
        <v>42</v>
      </c>
      <c r="E45" s="63">
        <f t="shared" si="2"/>
        <v>9380.5443498711047</v>
      </c>
    </row>
    <row r="46" spans="4:5" x14ac:dyDescent="0.3">
      <c r="D46">
        <f t="shared" si="1"/>
        <v>43</v>
      </c>
      <c r="E46" s="63">
        <f t="shared" si="2"/>
        <v>8868.2063477921547</v>
      </c>
    </row>
    <row r="47" spans="4:5" x14ac:dyDescent="0.3">
      <c r="D47">
        <f t="shared" si="1"/>
        <v>44</v>
      </c>
      <c r="E47" s="63">
        <f t="shared" si="2"/>
        <v>8354.8436697090456</v>
      </c>
    </row>
    <row r="48" spans="4:5" x14ac:dyDescent="0.3">
      <c r="D48">
        <f t="shared" si="1"/>
        <v>45</v>
      </c>
      <c r="E48" s="63">
        <f t="shared" si="2"/>
        <v>7840.4542662697713</v>
      </c>
    </row>
    <row r="49" spans="4:5" x14ac:dyDescent="0.3">
      <c r="D49">
        <f t="shared" si="1"/>
        <v>46</v>
      </c>
      <c r="E49" s="63">
        <f t="shared" si="2"/>
        <v>7325.0360840236181</v>
      </c>
    </row>
    <row r="50" spans="4:5" x14ac:dyDescent="0.3">
      <c r="D50">
        <f t="shared" si="1"/>
        <v>47</v>
      </c>
      <c r="E50" s="63">
        <f t="shared" si="2"/>
        <v>6808.5870654129731</v>
      </c>
    </row>
    <row r="51" spans="4:5" x14ac:dyDescent="0.3">
      <c r="D51">
        <f t="shared" si="1"/>
        <v>48</v>
      </c>
      <c r="E51" s="63">
        <f t="shared" si="2"/>
        <v>6291.1051487651066</v>
      </c>
    </row>
    <row r="52" spans="4:5" x14ac:dyDescent="0.3">
      <c r="D52">
        <f t="shared" si="1"/>
        <v>49</v>
      </c>
      <c r="E52" s="63">
        <f t="shared" si="2"/>
        <v>5772.5882682839438</v>
      </c>
    </row>
    <row r="53" spans="4:5" x14ac:dyDescent="0.3">
      <c r="D53">
        <f t="shared" si="1"/>
        <v>50</v>
      </c>
      <c r="E53" s="63">
        <f t="shared" si="2"/>
        <v>5253.0343540418189</v>
      </c>
    </row>
    <row r="54" spans="4:5" x14ac:dyDescent="0.3">
      <c r="D54">
        <f t="shared" si="1"/>
        <v>51</v>
      </c>
      <c r="E54" s="63">
        <f t="shared" si="2"/>
        <v>4732.4413319712103</v>
      </c>
    </row>
    <row r="55" spans="4:5" x14ac:dyDescent="0.3">
      <c r="D55">
        <f t="shared" si="1"/>
        <v>52</v>
      </c>
      <c r="E55" s="63">
        <f t="shared" si="2"/>
        <v>4210.8071238564598</v>
      </c>
    </row>
    <row r="56" spans="4:5" x14ac:dyDescent="0.3">
      <c r="D56">
        <f t="shared" si="1"/>
        <v>53</v>
      </c>
      <c r="E56" s="63">
        <f t="shared" si="2"/>
        <v>3688.1296473254797</v>
      </c>
    </row>
    <row r="57" spans="4:5" x14ac:dyDescent="0.3">
      <c r="D57">
        <f t="shared" si="1"/>
        <v>54</v>
      </c>
      <c r="E57" s="63">
        <f t="shared" si="2"/>
        <v>3164.4068158414375</v>
      </c>
    </row>
    <row r="58" spans="4:5" x14ac:dyDescent="0.3">
      <c r="D58">
        <f t="shared" si="1"/>
        <v>55</v>
      </c>
      <c r="E58" s="63">
        <f t="shared" si="2"/>
        <v>2639.6365386944271</v>
      </c>
    </row>
    <row r="59" spans="4:5" x14ac:dyDescent="0.3">
      <c r="D59">
        <f t="shared" si="1"/>
        <v>56</v>
      </c>
      <c r="E59" s="63">
        <f t="shared" si="2"/>
        <v>2113.8167209931235</v>
      </c>
    </row>
    <row r="60" spans="4:5" x14ac:dyDescent="0.3">
      <c r="D60">
        <f t="shared" si="1"/>
        <v>57</v>
      </c>
      <c r="E60" s="63">
        <f t="shared" si="2"/>
        <v>1586.9452636564167</v>
      </c>
    </row>
    <row r="61" spans="4:5" x14ac:dyDescent="0.3">
      <c r="D61">
        <f t="shared" si="1"/>
        <v>58</v>
      </c>
      <c r="E61" s="63">
        <f t="shared" si="2"/>
        <v>1059.0200634050366</v>
      </c>
    </row>
    <row r="62" spans="4:5" x14ac:dyDescent="0.3">
      <c r="D62">
        <f t="shared" si="1"/>
        <v>59</v>
      </c>
      <c r="E62" s="63">
        <f t="shared" si="2"/>
        <v>530.03901275315366</v>
      </c>
    </row>
    <row r="63" spans="4:5" x14ac:dyDescent="0.3">
      <c r="D63">
        <f t="shared" si="1"/>
        <v>60</v>
      </c>
      <c r="E63" s="63">
        <f t="shared" si="2"/>
        <v>-3.2969182939268649E-11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"/>
  <sheetViews>
    <sheetView zoomScale="145" zoomScaleNormal="145" zoomScalePageLayoutView="150" workbookViewId="0">
      <selection activeCell="D6" sqref="D6"/>
    </sheetView>
  </sheetViews>
  <sheetFormatPr defaultColWidth="7.69921875" defaultRowHeight="14.4" x14ac:dyDescent="0.3"/>
  <cols>
    <col min="1" max="3" width="7.69921875" style="11"/>
    <col min="4" max="4" width="11.09765625" style="11" customWidth="1"/>
    <col min="5" max="5" width="7.69921875" style="11"/>
    <col min="6" max="6" width="12.59765625" style="11" customWidth="1"/>
    <col min="7" max="16384" width="7.69921875" style="11"/>
  </cols>
  <sheetData>
    <row r="2" spans="2:7" x14ac:dyDescent="0.3">
      <c r="B2" s="11" t="s">
        <v>43</v>
      </c>
    </row>
    <row r="3" spans="2:7" x14ac:dyDescent="0.3">
      <c r="B3" s="11" t="s">
        <v>42</v>
      </c>
    </row>
    <row r="5" spans="2:7" x14ac:dyDescent="0.3">
      <c r="B5" s="11" t="s">
        <v>41</v>
      </c>
      <c r="E5" s="11">
        <f>6*4</f>
        <v>24</v>
      </c>
      <c r="G5" s="62" t="s">
        <v>80</v>
      </c>
    </row>
    <row r="6" spans="2:7" x14ac:dyDescent="0.3">
      <c r="B6" s="11" t="s">
        <v>40</v>
      </c>
      <c r="E6" s="15">
        <v>14000</v>
      </c>
      <c r="G6" s="62" t="s">
        <v>81</v>
      </c>
    </row>
    <row r="7" spans="2:7" x14ac:dyDescent="0.3">
      <c r="B7" s="11" t="s">
        <v>1</v>
      </c>
      <c r="E7" s="14">
        <v>7.0000000000000007E-2</v>
      </c>
      <c r="G7" s="62" t="s">
        <v>78</v>
      </c>
    </row>
    <row r="8" spans="2:7" ht="15.6" x14ac:dyDescent="0.3">
      <c r="B8" s="11" t="s">
        <v>39</v>
      </c>
      <c r="E8" s="13">
        <f>+E7/4</f>
        <v>1.7500000000000002E-2</v>
      </c>
      <c r="G8" s="62" t="s">
        <v>79</v>
      </c>
    </row>
    <row r="10" spans="2:7" x14ac:dyDescent="0.3">
      <c r="B10" s="11" t="s">
        <v>38</v>
      </c>
      <c r="F10" s="12">
        <f>PV(E8,E5,-E6)</f>
        <v>272449.59903593839</v>
      </c>
    </row>
    <row r="11" spans="2:7" x14ac:dyDescent="0.3">
      <c r="B11" s="11" t="s">
        <v>37</v>
      </c>
      <c r="F11" s="12">
        <v>300000</v>
      </c>
    </row>
    <row r="12" spans="2:7" x14ac:dyDescent="0.3">
      <c r="B12" s="11" t="s">
        <v>36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8D75-7148-4976-A253-C54D62456CB4}">
  <dimension ref="C3:D12"/>
  <sheetViews>
    <sheetView workbookViewId="0">
      <selection activeCell="C13" sqref="C13"/>
    </sheetView>
  </sheetViews>
  <sheetFormatPr defaultRowHeight="15.6" x14ac:dyDescent="0.3"/>
  <cols>
    <col min="3" max="3" width="13.69921875" bestFit="1" customWidth="1"/>
    <col min="4" max="4" width="12.09765625" bestFit="1" customWidth="1"/>
  </cols>
  <sheetData>
    <row r="3" spans="3:4" x14ac:dyDescent="0.3">
      <c r="C3" t="s">
        <v>124</v>
      </c>
      <c r="D3" s="63">
        <v>-300000</v>
      </c>
    </row>
    <row r="4" spans="3:4" x14ac:dyDescent="0.3">
      <c r="C4" t="s">
        <v>125</v>
      </c>
      <c r="D4">
        <v>14000</v>
      </c>
    </row>
    <row r="5" spans="3:4" x14ac:dyDescent="0.3">
      <c r="C5" t="s">
        <v>126</v>
      </c>
      <c r="D5">
        <v>6</v>
      </c>
    </row>
    <row r="6" spans="3:4" x14ac:dyDescent="0.3">
      <c r="C6" t="s">
        <v>127</v>
      </c>
      <c r="D6">
        <v>4</v>
      </c>
    </row>
    <row r="7" spans="3:4" x14ac:dyDescent="0.3">
      <c r="C7" t="s">
        <v>128</v>
      </c>
      <c r="D7">
        <f>D5*D6</f>
        <v>24</v>
      </c>
    </row>
    <row r="8" spans="3:4" x14ac:dyDescent="0.3">
      <c r="C8" t="s">
        <v>129</v>
      </c>
      <c r="D8">
        <v>7.0000000000000007E-2</v>
      </c>
    </row>
    <row r="9" spans="3:4" x14ac:dyDescent="0.3">
      <c r="C9" t="s">
        <v>130</v>
      </c>
      <c r="D9">
        <f>D8/D6</f>
        <v>1.7500000000000002E-2</v>
      </c>
    </row>
    <row r="10" spans="3:4" x14ac:dyDescent="0.3">
      <c r="C10" t="s">
        <v>131</v>
      </c>
      <c r="D10" s="63">
        <f>PV(D9,D7,D4)</f>
        <v>-272449.59903593839</v>
      </c>
    </row>
    <row r="12" spans="3:4" x14ac:dyDescent="0.3">
      <c r="C1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Example 1</vt:lpstr>
      <vt:lpstr>Example 2</vt:lpstr>
      <vt:lpstr>Example 3</vt:lpstr>
      <vt:lpstr>Q9 Template</vt:lpstr>
      <vt:lpstr>Q9 Solution</vt:lpstr>
      <vt:lpstr>Q2</vt:lpstr>
      <vt:lpstr>Q1</vt:lpstr>
      <vt:lpstr>Question 7</vt:lpstr>
      <vt:lpstr>Q7Check</vt:lpstr>
      <vt:lpstr>Question 8</vt:lpstr>
      <vt:lpstr>Q8 Check</vt:lpstr>
      <vt:lpstr>Question 6</vt:lpstr>
      <vt:lpstr>Q6 Check</vt:lpstr>
      <vt:lpstr>Question 5</vt:lpstr>
      <vt:lpstr>Q5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 Sammon</cp:lastModifiedBy>
  <cp:lastPrinted>2018-01-31T23:10:42Z</cp:lastPrinted>
  <dcterms:created xsi:type="dcterms:W3CDTF">2016-01-23T16:17:55Z</dcterms:created>
  <dcterms:modified xsi:type="dcterms:W3CDTF">2018-09-04T21:53:37Z</dcterms:modified>
</cp:coreProperties>
</file>