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ianne\Documents\Career\ELS\TheTEST\"/>
    </mc:Choice>
  </mc:AlternateContent>
  <xr:revisionPtr revIDLastSave="0" documentId="8_{0774E6D8-EFE0-4086-89D7-F72CF8F12A25}" xr6:coauthVersionLast="47" xr6:coauthVersionMax="47" xr10:uidLastSave="{00000000-0000-0000-0000-000000000000}"/>
  <bookViews>
    <workbookView xWindow="-108" yWindow="-108" windowWidth="23256" windowHeight="12576" tabRatio="803" activeTab="12" xr2:uid="{00000000-000D-0000-FFFF-FFFF00000000}"/>
  </bookViews>
  <sheets>
    <sheet name="IM - SoBo" sheetId="2" r:id="rId1"/>
    <sheet name="IM- Win" sheetId="3" r:id="rId2"/>
    <sheet name="Area charac" sheetId="4" r:id="rId3"/>
    <sheet name="General balance sheet" sheetId="5" state="hidden" r:id="rId4"/>
    <sheet name="SBBS" sheetId="7" r:id="rId5"/>
    <sheet name="WinBS" sheetId="13" r:id="rId6"/>
    <sheet name="Labor" sheetId="6" r:id="rId7"/>
    <sheet name="Utility Ins IncTax" sheetId="8" r:id="rId8"/>
    <sheet name="Real Estate" sheetId="9" r:id="rId9"/>
    <sheet name="Prop and sales tax" sheetId="10" r:id="rId10"/>
    <sheet name="Business lic perm" sheetId="11" r:id="rId11"/>
    <sheet name="Transp and Log" sheetId="12" r:id="rId12"/>
    <sheet name="Images" sheetId="15" r:id="rId13"/>
  </sheets>
  <externalReferences>
    <externalReference r:id="rId14"/>
  </externalReferences>
  <definedNames>
    <definedName name="_xlnm.Print_Area" localSheetId="0">'IM - SoBo'!$B$3:$E$76</definedName>
    <definedName name="_xlnm.Print_Area" localSheetId="1">'IM- Win'!$A$6:$F$36</definedName>
  </definedNames>
  <calcPr calcId="181029"/>
</workbook>
</file>

<file path=xl/calcChain.xml><?xml version="1.0" encoding="utf-8"?>
<calcChain xmlns="http://schemas.openxmlformats.org/spreadsheetml/2006/main">
  <c r="G22" i="8" l="1"/>
  <c r="F22" i="8"/>
  <c r="E22" i="8"/>
  <c r="D22" i="8"/>
  <c r="C22" i="8" s="1"/>
  <c r="G13" i="8"/>
  <c r="F13" i="8"/>
  <c r="F13" i="7" s="1"/>
  <c r="E13" i="8"/>
  <c r="D13" i="8"/>
  <c r="C12" i="12"/>
  <c r="U18" i="15"/>
  <c r="U19" i="15" s="1"/>
  <c r="F15" i="9"/>
  <c r="E15" i="9"/>
  <c r="E14" i="9"/>
  <c r="F4" i="9"/>
  <c r="F3" i="9"/>
  <c r="F2" i="9"/>
  <c r="F8" i="9"/>
  <c r="D13" i="7"/>
  <c r="M19" i="15"/>
  <c r="M18" i="15"/>
  <c r="M17" i="15"/>
  <c r="M16" i="15"/>
  <c r="M13" i="15"/>
  <c r="M12" i="15"/>
  <c r="M11" i="15"/>
  <c r="D23" i="12"/>
  <c r="D19" i="12"/>
  <c r="I13" i="12"/>
  <c r="I12" i="12"/>
  <c r="D13" i="12"/>
  <c r="C13" i="12" s="1"/>
  <c r="D12" i="12"/>
  <c r="E44" i="8"/>
  <c r="D44" i="8"/>
  <c r="E43" i="8"/>
  <c r="D43" i="8"/>
  <c r="C43" i="8"/>
  <c r="G39" i="8"/>
  <c r="F39" i="8"/>
  <c r="E39" i="8"/>
  <c r="D39" i="8"/>
  <c r="C39" i="8"/>
  <c r="H39" i="8" s="1"/>
  <c r="G38" i="8"/>
  <c r="F38" i="8"/>
  <c r="E38" i="8"/>
  <c r="D38" i="8"/>
  <c r="C38" i="8"/>
  <c r="H38" i="8" s="1"/>
  <c r="C12" i="13"/>
  <c r="C12" i="7"/>
  <c r="C28" i="8"/>
  <c r="C27" i="8"/>
  <c r="L3" i="10"/>
  <c r="M3" i="10" s="1"/>
  <c r="L2" i="10"/>
  <c r="M2" i="10" s="1"/>
  <c r="N2" i="10" s="1"/>
  <c r="O2" i="10" s="1"/>
  <c r="P2" i="10" s="1"/>
  <c r="R16" i="9"/>
  <c r="Q16" i="9"/>
  <c r="P16" i="9"/>
  <c r="O16" i="9"/>
  <c r="N16" i="9"/>
  <c r="R15" i="9"/>
  <c r="Q15" i="9"/>
  <c r="P15" i="9"/>
  <c r="O15" i="9"/>
  <c r="N15" i="9"/>
  <c r="N9" i="13"/>
  <c r="M9" i="13"/>
  <c r="L9" i="13"/>
  <c r="L10" i="13" s="1"/>
  <c r="K9" i="13"/>
  <c r="K10" i="13" s="1"/>
  <c r="J9" i="13"/>
  <c r="J10" i="13" s="1"/>
  <c r="E59" i="3"/>
  <c r="E62" i="3" s="1"/>
  <c r="N9" i="7"/>
  <c r="M9" i="7"/>
  <c r="L9" i="7"/>
  <c r="L10" i="7" s="1"/>
  <c r="K9" i="7"/>
  <c r="K10" i="7" s="1"/>
  <c r="J9" i="7"/>
  <c r="J10" i="7" s="1"/>
  <c r="E54" i="2"/>
  <c r="Q35" i="8"/>
  <c r="E35" i="3"/>
  <c r="E33" i="3"/>
  <c r="E23" i="3"/>
  <c r="E44" i="2"/>
  <c r="E49" i="2" s="1"/>
  <c r="E13" i="2"/>
  <c r="E34" i="2"/>
  <c r="E68" i="2"/>
  <c r="E38" i="2"/>
  <c r="E43" i="2" s="1"/>
  <c r="E63" i="2"/>
  <c r="Q36" i="8"/>
  <c r="E32" i="2"/>
  <c r="E23" i="2"/>
  <c r="E55" i="3"/>
  <c r="E12" i="2"/>
  <c r="E50" i="2"/>
  <c r="H7" i="6"/>
  <c r="G7" i="6"/>
  <c r="F7" i="6"/>
  <c r="E7" i="6"/>
  <c r="D7" i="6"/>
  <c r="E24" i="13"/>
  <c r="D24" i="13"/>
  <c r="C24" i="13"/>
  <c r="M8" i="13"/>
  <c r="F24" i="13" s="1"/>
  <c r="G3" i="11"/>
  <c r="F3" i="11"/>
  <c r="F5" i="11" s="1"/>
  <c r="E3" i="11"/>
  <c r="D3" i="11"/>
  <c r="G4" i="11"/>
  <c r="F4" i="11"/>
  <c r="E4" i="11"/>
  <c r="D4" i="11"/>
  <c r="D5" i="11" s="1"/>
  <c r="C4" i="11"/>
  <c r="C5" i="11" s="1"/>
  <c r="G6" i="11"/>
  <c r="F6" i="11"/>
  <c r="E6" i="11"/>
  <c r="D6" i="11"/>
  <c r="L10" i="10"/>
  <c r="M10" i="10" s="1"/>
  <c r="N10" i="10" s="1"/>
  <c r="O10" i="10" s="1"/>
  <c r="L9" i="10"/>
  <c r="M9" i="10" s="1"/>
  <c r="H13" i="6"/>
  <c r="G10" i="6"/>
  <c r="G13" i="6" s="1"/>
  <c r="F12" i="6"/>
  <c r="F11" i="6"/>
  <c r="F10" i="6"/>
  <c r="F13" i="6" s="1"/>
  <c r="F9" i="6"/>
  <c r="E12" i="6"/>
  <c r="E11" i="6"/>
  <c r="E10" i="6"/>
  <c r="E9" i="6"/>
  <c r="D12" i="6"/>
  <c r="D11" i="6"/>
  <c r="D10" i="6"/>
  <c r="I6" i="6"/>
  <c r="I5" i="6"/>
  <c r="I4" i="6"/>
  <c r="I3" i="6"/>
  <c r="N38" i="8"/>
  <c r="M38" i="8"/>
  <c r="N25" i="8"/>
  <c r="N24" i="8"/>
  <c r="P16" i="8"/>
  <c r="O16" i="8"/>
  <c r="N16" i="8"/>
  <c r="M16" i="8"/>
  <c r="L16" i="8"/>
  <c r="N47" i="8" s="1"/>
  <c r="P13" i="8"/>
  <c r="O13" i="8"/>
  <c r="N13" i="8"/>
  <c r="M13" i="8"/>
  <c r="L13" i="8"/>
  <c r="M47" i="8" s="1"/>
  <c r="F18" i="10"/>
  <c r="G15" i="9"/>
  <c r="H15" i="9" s="1"/>
  <c r="I15" i="9" s="1"/>
  <c r="F14" i="9"/>
  <c r="G14" i="9" s="1"/>
  <c r="H14" i="9" s="1"/>
  <c r="I14" i="9" s="1"/>
  <c r="P8" i="8"/>
  <c r="O8" i="8"/>
  <c r="N8" i="8"/>
  <c r="M8" i="8"/>
  <c r="L8" i="8" s="1"/>
  <c r="N45" i="8" s="1"/>
  <c r="P4" i="8"/>
  <c r="O4" i="8"/>
  <c r="N4" i="8"/>
  <c r="M4" i="8"/>
  <c r="L4" i="8" s="1"/>
  <c r="M45" i="8" s="1"/>
  <c r="E13" i="7"/>
  <c r="G5" i="11" l="1"/>
  <c r="E13" i="6"/>
  <c r="D13" i="6"/>
  <c r="I7" i="6"/>
  <c r="E5" i="11"/>
  <c r="E37" i="2"/>
  <c r="E71" i="2" s="1"/>
  <c r="N44" i="8"/>
  <c r="G13" i="7"/>
  <c r="E57" i="2"/>
  <c r="F44" i="8"/>
  <c r="M10" i="13"/>
  <c r="N8" i="13"/>
  <c r="O8" i="13" s="1"/>
  <c r="N3" i="10"/>
  <c r="O3" i="10" s="1"/>
  <c r="P3" i="10" s="1"/>
  <c r="P4" i="10" s="1"/>
  <c r="M4" i="10"/>
  <c r="M11" i="10"/>
  <c r="N9" i="10"/>
  <c r="L11" i="10"/>
  <c r="L4" i="10"/>
  <c r="C13" i="8"/>
  <c r="H16" i="8"/>
  <c r="F8" i="7"/>
  <c r="D8" i="7"/>
  <c r="G9" i="8"/>
  <c r="F9" i="8"/>
  <c r="E9" i="8"/>
  <c r="D9" i="8"/>
  <c r="C9" i="8"/>
  <c r="G4" i="8"/>
  <c r="G8" i="7" s="1"/>
  <c r="F4" i="8"/>
  <c r="E4" i="8"/>
  <c r="E8" i="7" s="1"/>
  <c r="D4" i="8"/>
  <c r="C4" i="8"/>
  <c r="M46" i="8" s="1"/>
  <c r="E24" i="7"/>
  <c r="D24" i="7"/>
  <c r="C24" i="7"/>
  <c r="M8" i="7"/>
  <c r="E19" i="5"/>
  <c r="D19" i="5"/>
  <c r="C19" i="5"/>
  <c r="P6" i="6"/>
  <c r="O6" i="6"/>
  <c r="N6" i="6"/>
  <c r="M6" i="6"/>
  <c r="K6" i="6"/>
  <c r="L6" i="6" s="1"/>
  <c r="P5" i="6"/>
  <c r="O5" i="6"/>
  <c r="N5" i="6"/>
  <c r="M5" i="6"/>
  <c r="K5" i="6"/>
  <c r="L5" i="6" s="1"/>
  <c r="P4" i="6"/>
  <c r="O4" i="6"/>
  <c r="N4" i="6"/>
  <c r="M4" i="6"/>
  <c r="K4" i="6"/>
  <c r="L4" i="6" s="1"/>
  <c r="P3" i="6"/>
  <c r="P8" i="6" s="1"/>
  <c r="O3" i="6"/>
  <c r="N3" i="6"/>
  <c r="M3" i="6"/>
  <c r="K3" i="6"/>
  <c r="O4" i="5"/>
  <c r="E29" i="3"/>
  <c r="E29" i="2"/>
  <c r="E49" i="3"/>
  <c r="E43" i="3"/>
  <c r="E37" i="3"/>
  <c r="E17" i="3"/>
  <c r="E11" i="3"/>
  <c r="N46" i="8" l="1"/>
  <c r="F43" i="8"/>
  <c r="C8" i="7"/>
  <c r="C13" i="7"/>
  <c r="M44" i="8"/>
  <c r="P9" i="6"/>
  <c r="P10" i="6"/>
  <c r="P11" i="6" s="1"/>
  <c r="G7" i="13" s="1"/>
  <c r="P4" i="5"/>
  <c r="P38" i="8" s="1"/>
  <c r="O38" i="8"/>
  <c r="K8" i="6"/>
  <c r="O8" i="6"/>
  <c r="D34" i="7"/>
  <c r="N8" i="6"/>
  <c r="M8" i="6"/>
  <c r="N10" i="13"/>
  <c r="G44" i="8"/>
  <c r="E34" i="7"/>
  <c r="C34" i="7"/>
  <c r="F24" i="7"/>
  <c r="F34" i="7" s="1"/>
  <c r="M10" i="7"/>
  <c r="G24" i="13"/>
  <c r="O4" i="10"/>
  <c r="N4" i="10"/>
  <c r="Q4" i="10" s="1"/>
  <c r="N11" i="10"/>
  <c r="O9" i="10"/>
  <c r="K9" i="6"/>
  <c r="L3" i="6"/>
  <c r="L8" i="6" s="1"/>
  <c r="N8" i="7"/>
  <c r="O8" i="7" s="1"/>
  <c r="F19" i="5"/>
  <c r="E64" i="3"/>
  <c r="Q11" i="10" l="1"/>
  <c r="O10" i="6"/>
  <c r="N9" i="6"/>
  <c r="N10" i="6"/>
  <c r="K10" i="6"/>
  <c r="K11" i="6" s="1"/>
  <c r="G19" i="5"/>
  <c r="M9" i="6"/>
  <c r="M10" i="6"/>
  <c r="M11" i="6" s="1"/>
  <c r="O9" i="6"/>
  <c r="O11" i="6" s="1"/>
  <c r="L9" i="6"/>
  <c r="L10" i="6"/>
  <c r="L11" i="6" s="1"/>
  <c r="N10" i="7"/>
  <c r="G43" i="8"/>
  <c r="L13" i="7"/>
  <c r="L14" i="7"/>
  <c r="K13" i="7"/>
  <c r="K14" i="7"/>
  <c r="O11" i="10"/>
  <c r="P9" i="10"/>
  <c r="P11" i="10" s="1"/>
  <c r="G6" i="5"/>
  <c r="G24" i="7"/>
  <c r="G34" i="7" s="1"/>
  <c r="H34" i="7" s="1"/>
  <c r="E17" i="2"/>
  <c r="N11" i="6" l="1"/>
  <c r="F7" i="13"/>
  <c r="F6" i="5"/>
  <c r="F26" i="5" s="1"/>
  <c r="O13" i="5" s="1"/>
  <c r="C7" i="13"/>
  <c r="C6" i="5"/>
  <c r="C26" i="5" s="1"/>
  <c r="L13" i="5" s="1"/>
  <c r="D7" i="13"/>
  <c r="D6" i="5"/>
  <c r="D26" i="5" s="1"/>
  <c r="M13" i="5" s="1"/>
  <c r="E7" i="13"/>
  <c r="E6" i="5"/>
  <c r="E26" i="5" s="1"/>
  <c r="N13" i="5" s="1"/>
  <c r="G26" i="5"/>
  <c r="P13" i="5" s="1"/>
  <c r="M13" i="7"/>
  <c r="M14" i="7"/>
  <c r="J13" i="7"/>
  <c r="J14" i="7"/>
  <c r="E11" i="2"/>
  <c r="E70" i="2" s="1"/>
  <c r="N13" i="7" l="1"/>
  <c r="N16" i="7" s="1"/>
  <c r="N14" i="7"/>
  <c r="N17" i="7" s="1"/>
  <c r="E65" i="3"/>
  <c r="E66" i="3" s="1"/>
  <c r="E72" i="2"/>
  <c r="E73" i="2" s="1"/>
  <c r="C34" i="13"/>
  <c r="D34" i="13"/>
  <c r="K13" i="13" s="1"/>
  <c r="F34" i="13"/>
  <c r="M14" i="13" s="1"/>
  <c r="J14" i="13" l="1"/>
  <c r="O13" i="7"/>
  <c r="O14" i="7"/>
  <c r="M13" i="13"/>
  <c r="E34" i="13"/>
  <c r="L13" i="13" s="1"/>
  <c r="K14" i="13"/>
  <c r="J13" i="13"/>
  <c r="L14" i="13" l="1"/>
  <c r="G34" i="13"/>
  <c r="H34" i="13" s="1"/>
  <c r="N14" i="13" l="1"/>
  <c r="N17" i="13" s="1"/>
  <c r="N13" i="13"/>
  <c r="N16" i="13" l="1"/>
  <c r="O13" i="13"/>
  <c r="O14" i="13"/>
  <c r="N20" i="7"/>
  <c r="N21" i="13"/>
  <c r="N19" i="7"/>
  <c r="N20" i="13"/>
</calcChain>
</file>

<file path=xl/sharedStrings.xml><?xml version="1.0" encoding="utf-8"?>
<sst xmlns="http://schemas.openxmlformats.org/spreadsheetml/2006/main" count="1006" uniqueCount="565">
  <si>
    <t>Item</t>
  </si>
  <si>
    <t>Type</t>
  </si>
  <si>
    <t>Description</t>
  </si>
  <si>
    <t>Offer</t>
  </si>
  <si>
    <t>Final Offer</t>
  </si>
  <si>
    <t>Land + Building</t>
  </si>
  <si>
    <t>Operating Incentives</t>
  </si>
  <si>
    <t>Program Name</t>
  </si>
  <si>
    <t>Income Tax Relief</t>
  </si>
  <si>
    <t>Local Property Tax Relief</t>
  </si>
  <si>
    <t>Hiring + Training</t>
  </si>
  <si>
    <t>Utilities</t>
  </si>
  <si>
    <t>Total - Facilities incentives</t>
  </si>
  <si>
    <t>Total - Operations incentives</t>
  </si>
  <si>
    <t>Total:</t>
  </si>
  <si>
    <t>Notes</t>
  </si>
  <si>
    <t>Incentive 3</t>
  </si>
  <si>
    <t>Incentive 4</t>
  </si>
  <si>
    <t>Incentive 5</t>
  </si>
  <si>
    <t>Incentive 1</t>
  </si>
  <si>
    <t>Incentive 2</t>
  </si>
  <si>
    <t>Capital Expenditure Incentives</t>
  </si>
  <si>
    <t>Rent</t>
  </si>
  <si>
    <t>Rows may be added/subtracted based on research and findings</t>
  </si>
  <si>
    <t>Infrastructure/Site Development</t>
  </si>
  <si>
    <t>Equipment and Machinery</t>
  </si>
  <si>
    <t>Zoning Incentives</t>
  </si>
  <si>
    <t>Zone 2</t>
  </si>
  <si>
    <t>Zone 3</t>
  </si>
  <si>
    <t>Zone 4</t>
  </si>
  <si>
    <t>Zone 5</t>
  </si>
  <si>
    <t>Zone 1</t>
  </si>
  <si>
    <t>1030 Confroy Dr South Boston, VA</t>
  </si>
  <si>
    <t>Zoning</t>
  </si>
  <si>
    <t>technology</t>
  </si>
  <si>
    <t>opportunity, enterprise</t>
  </si>
  <si>
    <t>Reference</t>
  </si>
  <si>
    <t>bestplaces.net</t>
  </si>
  <si>
    <t>Income tax rate</t>
  </si>
  <si>
    <t>Sales tax rate</t>
  </si>
  <si>
    <t>Major employers</t>
  </si>
  <si>
    <t>close population centers for supervisors to commute from?</t>
  </si>
  <si>
    <t>Population by occupation</t>
  </si>
  <si>
    <t>local colleges for training?</t>
  </si>
  <si>
    <t>22.4% retail, 11.7% educational services, 11% manufacturing, 10.8% health care/social assistance</t>
  </si>
  <si>
    <t>16.0% health care and social assistance, 12.4% retail, 10.3% educational services, 9.8% accommodation and food</t>
  </si>
  <si>
    <t>health care, manufacturing, retail, professional</t>
  </si>
  <si>
    <t>Unemployment rate (12/22)</t>
  </si>
  <si>
    <t>Poverty rate (relevant for DOF)</t>
  </si>
  <si>
    <t>https://www.bls.gov/oes/current/oes_49020.htm#51-0000</t>
  </si>
  <si>
    <t>Supervisor location quotient</t>
  </si>
  <si>
    <t>Packaging location quotient</t>
  </si>
  <si>
    <t>Helpers- production workers</t>
  </si>
  <si>
    <t>Helpers location quotient</t>
  </si>
  <si>
    <t>County</t>
  </si>
  <si>
    <t>Halifax</t>
  </si>
  <si>
    <t>Frederick</t>
  </si>
  <si>
    <t>Used Southside VA area for S. Boston and Winchester metro for Winchester</t>
  </si>
  <si>
    <t>3.5 (Lynchburg metro)</t>
  </si>
  <si>
    <t>https://www.bls.gov/regions/mid-atlantic/va_winchester_msa.htm</t>
  </si>
  <si>
    <t>https://www.census.gov/quickfacts/fact/table/southbostontownvirginia</t>
  </si>
  <si>
    <t>Median household income (2021)</t>
  </si>
  <si>
    <t>Average income per worker (2021)</t>
  </si>
  <si>
    <t>% 16+ in labor force</t>
  </si>
  <si>
    <t>Mean travel time to work (min)</t>
  </si>
  <si>
    <t>Population</t>
  </si>
  <si>
    <t>Comparison: https://www.census.gov/quickfacts/fact/table/winchestercityvirginia,southbostontownvirginia,VA/PST045222</t>
  </si>
  <si>
    <t>Bachelor's degree (%)</t>
  </si>
  <si>
    <t>High school graduates (%)</t>
  </si>
  <si>
    <t>321 Apple Valley Road, Winchester, VA 22602-2408</t>
  </si>
  <si>
    <t>not enough info</t>
  </si>
  <si>
    <t>Inspectors, Testers, Sorters, Samplers, and Weighers</t>
  </si>
  <si>
    <t>https://www.bls.gov/oes/current/oes_5100002.htm#otherlinks</t>
  </si>
  <si>
    <t>Link</t>
  </si>
  <si>
    <t>https://www.vedp.org/incentive/commonwealths-development-opportunity-fund-cof</t>
  </si>
  <si>
    <t>and https://www.bls.gov/regions/mid-atlantic/virginia.htm</t>
  </si>
  <si>
    <t>Y1</t>
  </si>
  <si>
    <t>Y2</t>
  </si>
  <si>
    <t>Y3</t>
  </si>
  <si>
    <t>Y4</t>
  </si>
  <si>
    <t>Y5</t>
  </si>
  <si>
    <t>Costs</t>
  </si>
  <si>
    <t>Revenue</t>
  </si>
  <si>
    <t>Production-Related Machinery and Equipment</t>
  </si>
  <si>
    <t>Furniture, Fixtures and Equipment</t>
  </si>
  <si>
    <t>Supervisors</t>
  </si>
  <si>
    <t>51-1011</t>
  </si>
  <si>
    <t>Production</t>
  </si>
  <si>
    <t>51-3092</t>
  </si>
  <si>
    <t>Technicians</t>
  </si>
  <si>
    <t>19-4013</t>
  </si>
  <si>
    <t>Packagers</t>
  </si>
  <si>
    <t>53-7604</t>
  </si>
  <si>
    <t>Profit</t>
  </si>
  <si>
    <t>Sum of Costs</t>
  </si>
  <si>
    <t>Food batchmakers (51-3092)</t>
  </si>
  <si>
    <t>Median salary of supervisor (production occupations, 2021, 51-1011)</t>
  </si>
  <si>
    <t>FB Location quotient</t>
  </si>
  <si>
    <t>T location quotient</t>
  </si>
  <si>
    <t>Mixing and Blending Machine Setters, Operators, and Tenders (51-9023) substitute for technicians</t>
  </si>
  <si>
    <t xml:space="preserve">Packaging and Filling Machine Operators and Tenders </t>
  </si>
  <si>
    <t>PP location quotient</t>
  </si>
  <si>
    <t>Packers and Packaging (53-7064)</t>
  </si>
  <si>
    <t>Annual Salary</t>
  </si>
  <si>
    <t>Code</t>
  </si>
  <si>
    <t>Role</t>
  </si>
  <si>
    <t>Total Positions/Year</t>
  </si>
  <si>
    <t>Labor cost per year</t>
  </si>
  <si>
    <t>Annual cost of wages and benefits</t>
  </si>
  <si>
    <t>Wages and benefits</t>
  </si>
  <si>
    <t>Electric</t>
  </si>
  <si>
    <t>Water</t>
  </si>
  <si>
    <t>Permits</t>
  </si>
  <si>
    <t>Income taxes</t>
  </si>
  <si>
    <t xml:space="preserve">Training </t>
  </si>
  <si>
    <t>Natural gas</t>
  </si>
  <si>
    <t>R&amp;D</t>
  </si>
  <si>
    <t>Direct materials</t>
  </si>
  <si>
    <t>Rent/Mortgage</t>
  </si>
  <si>
    <t>Water/sewer</t>
  </si>
  <si>
    <t>10,000G/day</t>
  </si>
  <si>
    <t>52,000 kWh/month</t>
  </si>
  <si>
    <t>3 million BTUs/24 h at full capacity</t>
  </si>
  <si>
    <t>Cost of benefits (20%)</t>
  </si>
  <si>
    <t>Timeline</t>
  </si>
  <si>
    <t>2/15- closing</t>
  </si>
  <si>
    <t>3/1- break ground</t>
  </si>
  <si>
    <t>7/1 construction complete</t>
  </si>
  <si>
    <t>prorate the utilities property taxes for Y1</t>
  </si>
  <si>
    <t>7/1 training starts</t>
  </si>
  <si>
    <t>Y1 prorated for 6 months</t>
  </si>
  <si>
    <t>I prorated salaries for Y1</t>
  </si>
  <si>
    <t>Prorated to 9 months first year</t>
  </si>
  <si>
    <t>Site improvements  (road expansion and turning lanes)</t>
  </si>
  <si>
    <t>$/kWh</t>
  </si>
  <si>
    <t>So Boston Electric- Dominion Virgina</t>
  </si>
  <si>
    <t>Winchester Electric- Shenandoah Valley Electric Cooperative</t>
  </si>
  <si>
    <t>S. Boston gas: Columbia Gas of VA</t>
  </si>
  <si>
    <r>
      <t>$/1000 ft</t>
    </r>
    <r>
      <rPr>
        <vertAlign val="superscript"/>
        <sz val="11"/>
        <color theme="1"/>
        <rFont val="Calibri"/>
        <family val="2"/>
        <scheme val="minor"/>
      </rPr>
      <t>3</t>
    </r>
  </si>
  <si>
    <t>https://flcdatacenter.com/OesQuickResults.aspx?area=5100002&amp;code=19-4013&amp;year=23&amp;source=1</t>
  </si>
  <si>
    <t>Technician: 19-4013 (mean wage/h)</t>
  </si>
  <si>
    <r>
      <t>1 ft</t>
    </r>
    <r>
      <rPr>
        <vertAlign val="superscript"/>
        <sz val="11"/>
        <color theme="1"/>
        <rFont val="Calibri"/>
        <family val="2"/>
        <scheme val="minor"/>
      </rPr>
      <t>3</t>
    </r>
    <r>
      <rPr>
        <sz val="11"/>
        <color theme="1"/>
        <rFont val="Calibri"/>
        <family val="2"/>
        <scheme val="minor"/>
      </rPr>
      <t xml:space="preserve"> = 1037 BTUs</t>
    </r>
  </si>
  <si>
    <t>28 ft ceiling</t>
  </si>
  <si>
    <t>55,000 sq ft</t>
  </si>
  <si>
    <t xml:space="preserve">BTU calculator: https://www.simplex.ca/en/btu-calculator </t>
  </si>
  <si>
    <t>https://learnmetrics.com/heating-btu-calculator/</t>
  </si>
  <si>
    <t>Calculates BTU/hour</t>
  </si>
  <si>
    <t>Winchester gas: Washington gas, Shenandoah station</t>
  </si>
  <si>
    <t>Maintenance</t>
  </si>
  <si>
    <t>Other</t>
  </si>
  <si>
    <t>Sales tax (statutory)</t>
  </si>
  <si>
    <t>Halifax Opportunity Program: At least a 2% return to the business of new investment made in taxable real, personal property, or machinery and tools. The return shall be over a 5-year period and requires wages of at least 175% of current federal minimum wage.</t>
  </si>
  <si>
    <t>Financing</t>
  </si>
  <si>
    <t>https://downtownsobo.com/business-incentives/#loan</t>
  </si>
  <si>
    <t>Virginia Economic Development Loan Fund The Virginia Economic Development Loan Fund encourages capital investment in Virginia's communities through "gap" financing and loan guaranties. Eligible borrowers include local Industrial Development Authorities (IDAs), businesses engaged in technology, biotechnology, tourism, basic industries, manufacturing, and those businesses or entities that provide for a locality's economic and "quality of life" development</t>
  </si>
  <si>
    <t>THE COMMONWEALTH OF VIRGINIA DOES NOT TAX: • Intangible property • Manufacturers’ inventory • Manufacturers’ furniture, fixtures, or corporate aircraft</t>
  </si>
  <si>
    <t>SALES AND USE TAX Virginia’s 5.0 percent combined state and local sales and use tax rate is among the lowest in the nation. Some important exemptions include: • Manufacturers’ purchases used directly in production, including machinery, tools, spare parts, industrial fuels, and raw materials • Items purchased for resale by distributors • Certified pollution control equipment facilities • Custom computer software • Utilities delivered through lines, pipes, or mains • Purchases used directly and exclusively in research and development • Most film, video, and audio production-related purchases • Charges for Internet access, related communications services and sales of software via the Internet</t>
  </si>
  <si>
    <t>CORPORATE INCOME TAX INCENTIVES Virginia’s corporate income tax rate is 6 percent, and no unitary tax is levied on Virginia companies’ worldwide profits. To further enhance Virginia’s favorable tax treatment, the sales factor in the state’s income apportionment formula is double weighted, benefiting companies with significant Virginia payroll and property</t>
  </si>
  <si>
    <t>Comprehensive: https://issuu.com/vedpvirginia/docs/vedp_guide_to_incentives_pages_marketing_022420</t>
  </si>
  <si>
    <t>Export</t>
  </si>
  <si>
    <t>VALET: targeting new international markets</t>
  </si>
  <si>
    <t>Cash Collateral program</t>
  </si>
  <si>
    <t>Property</t>
  </si>
  <si>
    <t>Sale or Lease</t>
  </si>
  <si>
    <t>Size</t>
  </si>
  <si>
    <t>Need work?</t>
  </si>
  <si>
    <t>Include utilities, maintenance?</t>
  </si>
  <si>
    <t>Comp for So Boston</t>
  </si>
  <si>
    <t>Comp for Winchester</t>
  </si>
  <si>
    <t>lease</t>
  </si>
  <si>
    <t>https://www.loopnet.com/Listing/831-Shady-Elm-Rd-Winchester-VA/24661409/</t>
  </si>
  <si>
    <t>x</t>
  </si>
  <si>
    <t>Year built</t>
  </si>
  <si>
    <t>No</t>
  </si>
  <si>
    <t>New</t>
  </si>
  <si>
    <t>50000+, multiple buildings</t>
  </si>
  <si>
    <t>target</t>
  </si>
  <si>
    <t>Lease/sq ft/year</t>
  </si>
  <si>
    <t>Purchase price</t>
  </si>
  <si>
    <t>4.5M</t>
  </si>
  <si>
    <t>either</t>
  </si>
  <si>
    <t>Exemptions from many fees due to being in technology zone</t>
  </si>
  <si>
    <t>4.75, 2.5% each year, NNN 10 y</t>
  </si>
  <si>
    <t>4, 2.5% each year, 10 y NNN</t>
  </si>
  <si>
    <t>5 year term, Lease rate does not include utilities, property expenses or building services, rent abatement for first 6 months</t>
  </si>
  <si>
    <t>321 apple valley rd winchester</t>
  </si>
  <si>
    <t>1030 Confroy Dr, So. Boston, VA</t>
  </si>
  <si>
    <t>x, Danville</t>
  </si>
  <si>
    <t>Problem: few have prices</t>
  </si>
  <si>
    <t>https://www.loopnet.com/Listing/370-Mount-Cross-Rd-Danville-VA/27629448/</t>
  </si>
  <si>
    <t>lease, sale</t>
  </si>
  <si>
    <t>2.454M</t>
  </si>
  <si>
    <t>???, 3% rental increase each year</t>
  </si>
  <si>
    <t>10 year NNN</t>
  </si>
  <si>
    <t>x, Drakes Branch</t>
  </si>
  <si>
    <t>https://www.loopnet.com/Listing/635-WestPoint-Stevens-Rd-Drakes-Branch-VA/24831865/</t>
  </si>
  <si>
    <t>sale</t>
  </si>
  <si>
    <t>N/A</t>
  </si>
  <si>
    <t>8M</t>
  </si>
  <si>
    <t>x, Fredericksburg</t>
  </si>
  <si>
    <t>https://www.loopnet.com/Listing/20-Joseph-Mills-Dr-Fredericksburg-VA/18904660/</t>
  </si>
  <si>
    <t>4.25M</t>
  </si>
  <si>
    <t>Households within 10 miles</t>
  </si>
  <si>
    <t>Claritas Prizm</t>
  </si>
  <si>
    <t>1-2 person households, married no kids, single people, 65+ largest segment</t>
  </si>
  <si>
    <t>rent abatement</t>
  </si>
  <si>
    <t>no rent abatement</t>
  </si>
  <si>
    <t>better mix of income levels, 1-3 person households, married with kids, married no kids, other no kids, lots of people of working age</t>
  </si>
  <si>
    <t>So. Boston water/sewer: Halifax Cty Servoce Auth</t>
  </si>
  <si>
    <t>10,000 gal/day</t>
  </si>
  <si>
    <t>$2.65/1000 gal</t>
  </si>
  <si>
    <t>Winchester water/sewer: Frederick</t>
  </si>
  <si>
    <t>$3.55/1000 gal</t>
  </si>
  <si>
    <t>Jobs: July, August, Sept, Oct, Nov, Dec (6)</t>
  </si>
  <si>
    <t>(4)</t>
  </si>
  <si>
    <t>Construction in March, April, May, June of Y1 (4)</t>
  </si>
  <si>
    <t>Don't forget abatement So. Boston</t>
  </si>
  <si>
    <t>Construction???</t>
  </si>
  <si>
    <t>annual escalation</t>
  </si>
  <si>
    <t>$4/sq ft</t>
  </si>
  <si>
    <t>$4.75/sq ft</t>
  </si>
  <si>
    <t>prorated for 10 months in year 1</t>
  </si>
  <si>
    <t>Halifax County Tax Rates for 2022</t>
  </si>
  <si>
    <t>$0.50 per $100 value for real estate</t>
  </si>
  <si>
    <t>$1.26 per $100 value for machinery and tools (based on 50% of original capitalization costs)</t>
  </si>
  <si>
    <t>Real estate tax payments</t>
  </si>
  <si>
    <t>Winchester City</t>
  </si>
  <si>
    <t>Frederick County</t>
  </si>
  <si>
    <t>Fire and flood insurance</t>
  </si>
  <si>
    <t>Calculating property tax on commercial real estate: https://fnrpusa.com/blog/commercial-property-value/</t>
  </si>
  <si>
    <t>321 Apple Valley Rd</t>
  </si>
  <si>
    <t>2022 gov't assessment of value</t>
  </si>
  <si>
    <t>https://frdnet.fcva.us/applications/COR_ViewPropertyCards/View_Detail.aspx</t>
  </si>
  <si>
    <t>property taxes 2022</t>
  </si>
  <si>
    <t>Frederick Co VA, not in Winchester City</t>
  </si>
  <si>
    <t>1030 Confroy Dr (PRN 8170, physical location: 1052 Sandy Beach Rd)</t>
  </si>
  <si>
    <t>https://www.webgis.net/va/halifax/</t>
  </si>
  <si>
    <t>https://s3.amazonaws.com/hcama/8170.pdf</t>
  </si>
  <si>
    <t>Fair Labor Standards Act Federal Minimum Wage: $7.25//hour</t>
  </si>
  <si>
    <t>https://www.dol.gov/agencies/whd/minimum-wage/history/chart</t>
  </si>
  <si>
    <t>Lookup for incentives: https://www.halifaxvirginia.com/sites-and-buildings</t>
  </si>
  <si>
    <t>estimated</t>
  </si>
  <si>
    <t>https://cms3.revize.com/revize/southbostonvanew/2019-2020%20Fee%20and%20Tax%20Listing.pdf</t>
  </si>
  <si>
    <t>$.50 for every $100 in Halifax County</t>
  </si>
  <si>
    <t>So. Boston</t>
  </si>
  <si>
    <t>Winchester</t>
  </si>
  <si>
    <t>So. Boston phone: CenturyLink/Comcast</t>
  </si>
  <si>
    <t>$230/month</t>
  </si>
  <si>
    <t>Winchester phone and internet: Verizon</t>
  </si>
  <si>
    <t>LTE business internet, only 9 lines of service, 50 MBps, 1 router</t>
  </si>
  <si>
    <t>Business Internet Gigabit Extra 1.25 Gbps + 1 Phone line, 12 month contract</t>
  </si>
  <si>
    <t>$200/month</t>
  </si>
  <si>
    <t>https://www.verizon.com/business/shop/shopping-cart</t>
  </si>
  <si>
    <t>So Boston</t>
  </si>
  <si>
    <t xml:space="preserve">minimal floor hazard, zone X, </t>
  </si>
  <si>
    <t>https://msc.fema.gov/portal/search?AddressQuery=1030%20confroy%20dr%20south%20boston%20va#searchresultsanchor</t>
  </si>
  <si>
    <t>Insurance estimate</t>
  </si>
  <si>
    <t>https://www.trustedchoice.com/business-insurance/business-insurance-calculator/</t>
  </si>
  <si>
    <t>(manufacturing business, over 1000 sq ft, not in flood/brush fire/high crime area, risk management system, 101-250 employees, fewer than 3 claims per year)</t>
  </si>
  <si>
    <t xml:space="preserve">Virginina sales and use tax: https://www.tax.virginia.gov/retail-sales-and-use-tax </t>
  </si>
  <si>
    <t>Not taking into account: annual corporate registration fee, withholding tax, unemployment insurance tax: should be soimilar for both businesses</t>
  </si>
  <si>
    <t>https://yesmontgomeryva.org/doing-business/taxes/business-taxes---virginia-state-taxes#:~:text=The%20Virginia%20corporate%20income%20tax,Business%20Facility%20Job%20Tax%20Credit</t>
  </si>
  <si>
    <t>Not doing utility and consumption tax- will be the same for both.</t>
  </si>
  <si>
    <t>Wholesale class</t>
  </si>
  <si>
    <t>https://salemva.gov/Departments/Commissioner-of-the-Revenue/Business-Tax/Business-Tax-Calculator</t>
  </si>
  <si>
    <t>6% tax rate, but need to use three part formula of gross receipts, payroll, and property</t>
  </si>
  <si>
    <t>Fairfax one</t>
  </si>
  <si>
    <t>https://www.fairfaxva.gov/businesses/business-tax-calculator</t>
  </si>
  <si>
    <t>Business LICENSE tax</t>
  </si>
  <si>
    <t>Training expenses</t>
  </si>
  <si>
    <t>$10,000 per employee</t>
  </si>
  <si>
    <t>already trained</t>
  </si>
  <si>
    <t>Total training expenses</t>
  </si>
  <si>
    <t>actual, assessed by county</t>
  </si>
  <si>
    <t>actual</t>
  </si>
  <si>
    <t>Use taxes on equipment</t>
  </si>
  <si>
    <t>low estimates, not as good a plan</t>
  </si>
  <si>
    <t>manufacturing stuff</t>
  </si>
  <si>
    <t>office equpiment</t>
  </si>
  <si>
    <t>Tax Rates and Fees</t>
  </si>
  <si>
    <t>Tax</t>
  </si>
  <si>
    <t>Rate</t>
  </si>
  <si>
    <t>Real Estate </t>
  </si>
  <si>
    <t>$0.93 per $100.00 of assessed value</t>
  </si>
  <si>
    <t>$4.50 per $100.00 of assessed value</t>
  </si>
  <si>
    <t>Machinery and Tools </t>
  </si>
  <si>
    <t>$1.30 per $100.00 of assessed value</t>
  </si>
  <si>
    <t>Business Personal Property (includes business equipment)</t>
  </si>
  <si>
    <t>$3.85 per $100 value for personal property (furniture and fixtures)</t>
  </si>
  <si>
    <t xml:space="preserve">manufacturing </t>
  </si>
  <si>
    <t>office equipment</t>
  </si>
  <si>
    <t>Business income taxes</t>
  </si>
  <si>
    <t>Not enterprise nor opportunity zoned but IS technology zoned- not eligible for tech zone incentives</t>
  </si>
  <si>
    <t>License</t>
  </si>
  <si>
    <t>Not taking depreciation into account- needed to</t>
  </si>
  <si>
    <t>Winchester city</t>
  </si>
  <si>
    <t xml:space="preserve">So Boston </t>
  </si>
  <si>
    <t>Halifax Cty</t>
  </si>
  <si>
    <t>Rate Per $100.00 of Gross Receipts, Wholesale Merchant (report gross purchases) $100,000.00 or more $.05 (.0005) x Total Gross Receipts</t>
  </si>
  <si>
    <t>Winchester-FredCo</t>
  </si>
  <si>
    <t>https://www.fcva.us/home/showpublisheddocument/734/638136924698670000</t>
  </si>
  <si>
    <t>WHOLESALE SALES - $50.00 plus $0.03 per hundred dollars of gross receipts in excess of $200,000.</t>
  </si>
  <si>
    <t>https://www.halifaxcountyva.gov/DocumentCenter/View/449/2023-County-License-Interrogatory-PDF</t>
  </si>
  <si>
    <t>$30 + 10c for every $100</t>
  </si>
  <si>
    <t>https://cms3.revize.com/revize/southbostonvanew/departments/finance/2022/2022-2023%20FEE%20%20TAX%20LISTING.pdf</t>
  </si>
  <si>
    <t xml:space="preserve"> </t>
  </si>
  <si>
    <t>Phone/broadband</t>
  </si>
  <si>
    <t>2.1, I-81</t>
  </si>
  <si>
    <t>50, I-85</t>
  </si>
  <si>
    <t>In enterprise AND opportunity zones AND Hub zone</t>
  </si>
  <si>
    <t>100, Port of Richmond</t>
  </si>
  <si>
    <t>Incentive Name</t>
  </si>
  <si>
    <t>Operating expenses</t>
  </si>
  <si>
    <t>55000 sq ft</t>
  </si>
  <si>
    <t>Mortgage (25-30% down payment)</t>
  </si>
  <si>
    <t>not in Winchester city limits</t>
  </si>
  <si>
    <t>total</t>
  </si>
  <si>
    <t>Building insurance</t>
  </si>
  <si>
    <t>Grading and groundwork</t>
  </si>
  <si>
    <t>Installation of floor drains, cold storage, IMP (insulated metal panels), etc.</t>
  </si>
  <si>
    <t>Enterprise Zone Real Property Investment Grant: Businesses that make a qualified investment in an enterprise zone facility are eligible for a cash grant based on the excess above the minimum required investment threshold (the threshold is $100,000 for rehabilitation or expansion projects and $500,000 for new construction projects).</t>
  </si>
  <si>
    <t>Economic Development Access Program: The Virginia Department of Transportation (VDOT) administers this program that assists localities in providing adequate road access to new and expanding basic employers. </t>
  </si>
  <si>
    <t>Virginia Jobs Investment Program - Virginia New Jobs Program:  Businesses that make a minimum capital investment of $1 million and create 25 or more full-time jobs within 12 months that pay at least 1.35 times the federal minimum wage may receive a cash grant to cover a portion of training costs.  </t>
  </si>
  <si>
    <t xml:space="preserve">Commonwealth's Development Opportunity Fund (VA Economic Devt Partnership): negotiated grant for at least $5M in capital investment and 50 new jobs at prevailing wage in face of competition from other states, negotiated and approved by governor </t>
  </si>
  <si>
    <t>Calculation</t>
  </si>
  <si>
    <t>(2.5M improvement-100,000 threshold)*20%</t>
  </si>
  <si>
    <t>https://www.vedp.org/incentive/virginia-enterprise-zone-real-property-investment-grant</t>
  </si>
  <si>
    <t>https://www.vedp.org/incentive/tobacco-region-opportunity-fund-trof</t>
  </si>
  <si>
    <t>Tobacco Region Opportunity Fund (Halifax County): Assists with the location of companies in Virginia’s tobacco producing regions. This program provides discretionary cash grants to local governments to assist with the recruitment of economic development projects.  To qualify, a project must have a minimum private capital investment of $1 million and result in the creation of at least 10 jobs within a 3-year period. </t>
  </si>
  <si>
    <t>Depends on prevailing wage rates, capital investment levels, industry type, and other factors determined by the Commission</t>
  </si>
  <si>
    <t>County: Halifax, census tracts 9303.01</t>
  </si>
  <si>
    <t>Cash grant</t>
  </si>
  <si>
    <t>Characteristics of opportunity zone census tract</t>
  </si>
  <si>
    <t>https://opportunitydb.com/zones/51083930301/, map view: https://vedp.maps.arcgis.com/apps/webappviewer/index.html?id=bf7c530d8e0240c6a911a4b40fb0a357</t>
  </si>
  <si>
    <t>https://www.halifaxvirginia.com/enterprise-zone-incentives</t>
  </si>
  <si>
    <r>
      <t>Halifax County Utility Tax Rebate on Electricity and Natural Gas</t>
    </r>
    <r>
      <rPr>
        <sz val="11"/>
        <color rgb="FF3F3F3F"/>
        <rFont val="Calibri"/>
        <family val="2"/>
        <scheme val="minor"/>
      </rPr>
      <t> available to new businesses in the zone or expanding existing businesses increasing and maintaining full time employment by at least 10%. This rebate is equal to a declining percentage rate of the local consumer taxes paid for five years following qualification and taxes paid and documented</t>
    </r>
  </si>
  <si>
    <t>Virginia Enterprise Zone Job Creation Grant:  Qualified businesses that locate or expand in one of 46 Enterprise Zones may receive a cash grant if jobs are over 150% of federal minium wage.  An annual grant of up to $800 per job may be provided for up to 5 years.  </t>
  </si>
  <si>
    <t>All over $10.88</t>
  </si>
  <si>
    <t>Govt contracts</t>
  </si>
  <si>
    <t xml:space="preserve">Historically Underutilized Business Zone (HUBZone): ) Empowerment Contracting Program stimulates economic development and creates jobs in urban and rural communities by providing Federal contracting preferences to small businesses. Zone 51083 Is classified as a small business under NAICS standards for number of employees (under 750). https://www.sba.gov/sites/default/files/2019-08/SBA%20Table%20of%20Size%20Standards_Effective%20Aug%2019%2C%202019.pdf </t>
  </si>
  <si>
    <t>Equipment and machinery for each of the 5 years</t>
  </si>
  <si>
    <t>https://www.halifaxvirginia.com/incentives</t>
  </si>
  <si>
    <t>Not eligible</t>
  </si>
  <si>
    <t>Technology Hub: only for those who produce technology related products</t>
  </si>
  <si>
    <t>Qualifying investment in Y1 is $8.5M, so earns max of $500,000; https://www.virginiadot.org/business/resources/local_assistance/access_programs/EconomicDevelopmentAccessProgramGuide.pdf</t>
  </si>
  <si>
    <t>see above</t>
  </si>
  <si>
    <t xml:space="preserve">Virginia Major Business Facility Job Tax Credit: Businesses that expand in or relocate to Virginia, at least 50 jobs, lower threshold if in an enterprise zone or other distressed area. </t>
  </si>
  <si>
    <t>https://www.vedp.org/incentive/major-business-facility-job-tax-credit, Companies may not claim the same jobs for the Major Business Facility Job Tax Credit, the Enterprise Zone Job Creation Grant, the Port of Virginia Economic and Infrastructure Development Grant, the International Trade Facility Tax Credit, or the Green Job Creation Tax Credit.</t>
  </si>
  <si>
    <t>Prorated for partial years, only available until July 1, 2025. 60 jobs for 6 months of Y1, 5 jobs for all of Y2, 5 jobs for all of Y3</t>
  </si>
  <si>
    <t>Companies may not claim the same jobs for the Major Business Facility Job Tax Credit, the Enterprise Zone Job Creation Grant, the Port of Virginia Economic and Infrastructure Development Grant, the International Trade Facility Tax Credit, or the Green Job Creation Tax Credit.</t>
  </si>
  <si>
    <t>Tolling fees used in future supplier agreements, no inventory taken on books for tax purposes</t>
  </si>
  <si>
    <t>https://www.vedp.org/incentive/new-company-incentive-program</t>
  </si>
  <si>
    <t>Tax credit</t>
  </si>
  <si>
    <t>New Company Incentive Program: Eligible companies in traded sector industries that have no payroll or property in Virginia prior to January 1, 2018 will pay zero percent (0%) corporate Virginia state income tax on the income associated with their new Virginia presence.</t>
  </si>
  <si>
    <t>Cash reimbursement</t>
  </si>
  <si>
    <t>Discount</t>
  </si>
  <si>
    <t>Rent abatement for first 6 months of occupancy by Halifax IDA</t>
  </si>
  <si>
    <t>($4 x 55000 sq ft) /2</t>
  </si>
  <si>
    <t>Dossier</t>
  </si>
  <si>
    <t>https://www.vedp.org/incentive/virginia-enterprise-zone-job-creation-grant</t>
  </si>
  <si>
    <t>https://www.vedp.org/incentive/virginia-jobs-investment-program-vjip, has over 250 employees company-wide</t>
  </si>
  <si>
    <t>https://www.vaready.org/partners/business/</t>
  </si>
  <si>
    <t>Virginia FastForward: short-term training program for high-demand industries offered through community colleges</t>
  </si>
  <si>
    <t>South Central Workforce Development Board (SCWDB): workforce training through WIOA credits and the WOTC</t>
  </si>
  <si>
    <t>Worker Training Tax Credit: students grades 6-12, ended in 2022</t>
  </si>
  <si>
    <t>Rebate</t>
  </si>
  <si>
    <t>Fee exemption</t>
  </si>
  <si>
    <t>$800 for each job over the anuual threshold of 25 in a distressed region</t>
  </si>
  <si>
    <t>Job training</t>
  </si>
  <si>
    <t>Tax rebate</t>
  </si>
  <si>
    <t>Refundable Research and Development Expenses Tax Credit:  This program provides an as-of-right corporate income tax credit equal to 15% of the first $300,000 in Virginia qualified R&amp;D expenditures incurred during a taxable year.  If the qualified R&amp;D was conducted in partnership with a Virginia college or university, the tax credit is increased to 20% of the first $300,000 in expenditures.</t>
  </si>
  <si>
    <t>5 years of $20,000 of annual R&amp;D</t>
  </si>
  <si>
    <t>Sales &amp; Use Tax Exemptions: All machinery, replacement parts, and materials used directly in the manufacturing process are exempt from sales tax.  Other items exempt from sales tax include purchases used directly and exclusively in research and development; semiconductor clean rooms and related equipment; and computer equipment associated with data centers.</t>
  </si>
  <si>
    <t>Industrial development Bonds:  Tax-exempt Industrial Development Bonds (IDBs) are issued through the Industrial Development Authority. These bonds finance new or expanding manufacturing facilities and exempt projects such as solid-waste disposal facilities.</t>
  </si>
  <si>
    <t>https://www.halifaxvirginia.com/enterprise-zone-incentives, https://downtownsobo.com/business-incentives/</t>
  </si>
  <si>
    <t xml:space="preserve"> https://www.halifaxvirginia.com/enterprise-zone-incentives</t>
  </si>
  <si>
    <t>Halifax County Enterprise Zone Machinery and Tools Investment Grant: requiring a minimum net new taxable investment of $50,000 in machinery and tools. This grant amount is awarded for a five-year period based on the tax increase for the payout year as follows: 100% the first year, 80% the second year, 60% the third year, 40% the fourth year, and 20% the fifth year.</t>
  </si>
  <si>
    <t>Use taxes for machinery and tools are 50400, 75600, 81900, 88200, and 88200</t>
  </si>
  <si>
    <r>
      <t>Halifax County Enterprise Zone B</t>
    </r>
    <r>
      <rPr>
        <sz val="11"/>
        <color theme="1"/>
        <rFont val="Calibri"/>
        <family val="2"/>
        <scheme val="minor"/>
      </rPr>
      <t>uilding Permit Fees Partial Exemption from local building permit fees above the minimum fees charged for each individual permit. This incentive is automatic upon permit application for initial construction or expansion</t>
    </r>
  </si>
  <si>
    <r>
      <t>Halifax County Business and Professional License Fee Rebate</t>
    </r>
    <r>
      <rPr>
        <sz val="11"/>
        <color rgb="FF3F3F3F"/>
        <rFont val="Calibri"/>
        <family val="2"/>
        <scheme val="minor"/>
      </rPr>
      <t> available to new businesses in the zone or expanding existing businesses increasing and maintaining full time employment by at least 10%. This rebate based on the following schedule: 100% the first year, 80% the second year, 60% the third year, 40% the fourth year, and 20% the fifth year.</t>
    </r>
  </si>
  <si>
    <t xml:space="preserve">https://www.halifaxvirginia.com/enterprise-zone-incentives, https://downtownsobo.com/business-incentives/ https://cms3.revize.com/revize/southbostonvanew/departments/finance/2022/2022-2023%20FEE%20%20TAX%20LISTING.pdf </t>
  </si>
  <si>
    <t>Virginia Ready Initiative (VA Ready): business-led partnership to rapidly reskill Virginians for in-demand jobs by supporting credentials in high-growth industries</t>
  </si>
  <si>
    <t>Subtotal:</t>
  </si>
  <si>
    <t>Total (without MBF Job Tax Credit- see B76)</t>
  </si>
  <si>
    <t>Profit with incentives</t>
  </si>
  <si>
    <t>Profit without incentives</t>
  </si>
  <si>
    <t>Revenue+Incentives</t>
  </si>
  <si>
    <t>County: Frederick</t>
  </si>
  <si>
    <t>With incentives: compared to Winchester</t>
  </si>
  <si>
    <t>Without incentives: compared to Winchester</t>
  </si>
  <si>
    <t>With incentives: compared to So Boston</t>
  </si>
  <si>
    <t>Without incentives: compared to So Boston</t>
  </si>
  <si>
    <t>Not eligible:</t>
  </si>
  <si>
    <t>Economic Development Access Program</t>
  </si>
  <si>
    <t>Don't need road improvements</t>
  </si>
  <si>
    <t>Any City of Winchester local incentives (tax, financing, grants, etc.) because (a) not in Enterprise Zone and (b) not in City of Winchester limits</t>
  </si>
  <si>
    <t>Lukewarm customizing of incentives by Frederick County: https://www.yesfrederickva.com/doing-business/incentives-financing</t>
  </si>
  <si>
    <t>Technology Zone Business: A business which derives its gross receipts from computer hardware, software, or telecommunications sales, leases, licensing, or services, and for which the computers or telecommunication is used to provide sales, leases, licensing, or services directly to the customer. As a co-manufacturer and copacker, doesn't qualify for tech zone incentives. https://www.developwinchesterva.com/wp-content/uploads/2022/07/Tech-Zone-Checklist.pdf , https://library.municode.com/va/winchester/codes/code_of_ordinances?nodeId=CO_CH8.1TEZO</t>
  </si>
  <si>
    <t>Other:</t>
  </si>
  <si>
    <t>How estimate Commonwealth Opportunity Fund grant for both locations?</t>
  </si>
  <si>
    <t>Incentives (divided by 5)</t>
  </si>
  <si>
    <t>https://www.vedp.org/incentive/major-business-facility-job-tax-credit, Companies may not claim the same jobs for the Major Business Facility Job Tax Credit, the Enterprise Zone Job Creation Grant, the Port of Virginia Economic and Infrastructure Development Grant, the International Trade Facility Tax Credit, or the Green Job Creation Tax Credit. The company must create net, new full-time jobs in excess of 50 when not in a distressed area.</t>
  </si>
  <si>
    <t>Prorated for partial years. 35 jobs for 6 months of Y1</t>
  </si>
  <si>
    <t>https://townhall.virginia.gov/L/GetFile.cfm?File=C:\TownHall\docroot\GuidanceDocs\161\GDoc_TAX_6850_v1.pdf</t>
  </si>
  <si>
    <t>https://fastforwardva.org/</t>
  </si>
  <si>
    <t>How estimate negotiated incentives when no guidelines are given?</t>
  </si>
  <si>
    <t>Incentive 6</t>
  </si>
  <si>
    <t>https://www.tax.virginia.gov/business-development-credits#worker-training-credit</t>
  </si>
  <si>
    <t>Worker Training Tax Credit: A tax credit equal to 35% of the costs of providing eligible training to qualified workers, max of $500/worker per year. The credit is limited to $1,000 if the employee is considered a non-highly compensated worker (those whose income was below Virginia’s median wage amount for the year prior to applying for the credit): more like for So. Boston residents</t>
  </si>
  <si>
    <t>Incentives (2017366 divided equally)</t>
  </si>
  <si>
    <t>Positions per year needing training: 75, 30, 30, 5, 0</t>
  </si>
  <si>
    <t>Incentive 5: did not use the higher amount although some workers would likely be eligible</t>
  </si>
  <si>
    <t>Worker Training Tax Credit: A tax credit equal to 35% of the costs of providing eligible training to qualified workers, max of $500/worker per year. The credit is limited to $1,000 if the employee is considered a non-highly compensated worker (those whose income was below Virginia’s median wage amount for the year prior to applying for the credit): more likely for So. Boston residents than for Winchester</t>
  </si>
  <si>
    <t>Hiring and Training</t>
  </si>
  <si>
    <t>The Virginia Economic Development Incentive Grant program (VEDIG) : too many new employees needed (over 400 or 200 depending on population of area)</t>
  </si>
  <si>
    <t>Think about NOL?</t>
  </si>
  <si>
    <t>International Trade Facility Tax Credit</t>
  </si>
  <si>
    <t>Not planning major port activity, conflicts with Major Business Facility credit</t>
  </si>
  <si>
    <t>New Jobs/Enhanced New Jobs Tax Credit</t>
  </si>
  <si>
    <t>Not constructing premises</t>
  </si>
  <si>
    <t>Northern Virginia Community College Workforce Development: Virginia will be offsetting the tuition of select workforce training programs at community colleges by 66% with the new Workforce Credential Grant (WCG)</t>
  </si>
  <si>
    <t>https://virginiacareerworks.com/workforce-credential-grant/</t>
  </si>
  <si>
    <t>Installation of floor drains, IMPs, cold storage, lighting</t>
  </si>
  <si>
    <t>Maintenance (average NNN operating expenses)</t>
  </si>
  <si>
    <t>not available- would require a phone call</t>
  </si>
  <si>
    <t>Which location provides a more appealing wage to the locals? Greater difference in median wages vs company's offered wages in So. Boston</t>
  </si>
  <si>
    <t xml:space="preserve">Maintenance costs: https://www.researchgate.net/publication/235296382_Strategic_factors_affecting_warehouse_maintenance_costs </t>
  </si>
  <si>
    <t>Business personal property tax</t>
  </si>
  <si>
    <t>RE Property taxes</t>
  </si>
  <si>
    <t>Winchester personal property taxes on equipment</t>
  </si>
  <si>
    <t>So. Boston personal property taxes on equipment</t>
  </si>
  <si>
    <t>Net loss</t>
  </si>
  <si>
    <t>South Boston</t>
  </si>
  <si>
    <t>RE property taxes</t>
  </si>
  <si>
    <t>1030 Confroy Dr., South Boston, VA</t>
  </si>
  <si>
    <t>321 Apple Valley Way, Winchester, VA</t>
  </si>
  <si>
    <t>Right-to-work state</t>
  </si>
  <si>
    <t>South Boston has lower utility costs</t>
  </si>
  <si>
    <t>Population in 500 mile radius (average # of miles a trucker can drive in a day, 805 km)</t>
  </si>
  <si>
    <t>Per capita personal income</t>
  </si>
  <si>
    <t>https://apps.bea.gov/iTable/?reqid=99&amp;step=1&amp;acrdn=7#eyJhcHBpZCI6OTksInN0ZXBzIjpbMSwyNCwyOSwyNSwyNiwyNyw0MF0sImRhdGEiOltbIlRhYmxlSWQiLCI0OSJdLFsiQ2xhc3NpZmljYXRpb24iLCJOb24tSW5kdXN0cnkiXSxbIlJlYWxfVGFibGVfSWQiLCI0OSJdLFsiTWFqb3JBcmVhS2V5IiwiNCJdLFsiTGluZSIsIjMwIl0sWyJTdGF0ZSIsIjUxMDAwIl0sWyJVbml0X29mX01lYXN1cmUiLCJMZXZlbHMiXSxbIk1hcENvbG9yIiwiQkVBU3RhbmRhcmQiXSxbIm5SYW5nZSIsIjUiXSxbIlllYXIiLCIyMDIxIl0sWyJZZWFyQmVnaW4iLCItMSJdLFsiWWVhckVuZCIsIi0xIl1dfQ==</t>
  </si>
  <si>
    <t>13, Port of VA*</t>
  </si>
  <si>
    <t>Interstates (mi, identity)</t>
  </si>
  <si>
    <t>Port (mi, identity)</t>
  </si>
  <si>
    <t>Median annual reactive maintenance costs consisting of breakdown and damage costs:  1.131 Euros/m2  for 98 warehouse facilkities throughout Italy</t>
  </si>
  <si>
    <t>How long has property been vacant? Negotiating point</t>
  </si>
  <si>
    <t>get ft3 volume=</t>
  </si>
  <si>
    <t>Calculation to</t>
  </si>
  <si>
    <t>Per hour wage (2000 h/year)</t>
  </si>
  <si>
    <t>Zip code</t>
  </si>
  <si>
    <t>Virginia average</t>
  </si>
  <si>
    <t>HUBZone- gets govt contracts</t>
  </si>
  <si>
    <t>6 largest employers: Hospital system, Public schools, Credit Union, Amazon, FEMA, Plastics manufacturer</t>
  </si>
  <si>
    <t>No list of largest</t>
  </si>
  <si>
    <t>Payroll taxes: 6.2% for SS and 1.45% for Medicare</t>
  </si>
  <si>
    <t>Wages, benefits, and withholding</t>
  </si>
  <si>
    <t>Water Treatment</t>
  </si>
  <si>
    <t>S. Boston operating</t>
  </si>
  <si>
    <t>Winchester operating</t>
  </si>
  <si>
    <t>S. Boston purchase</t>
  </si>
  <si>
    <t>Winchester purchase</t>
  </si>
  <si>
    <t>https://pureaqua.com/twro-operating-costs/</t>
  </si>
  <si>
    <t>Reverse osmosis is best for beverage aplixations (purity)</t>
  </si>
  <si>
    <t>Commercial Tap and Brackish warer reverse osmosis purification system: RO-200</t>
  </si>
  <si>
    <t>https://pureaqua.com/commercial-reverse-osmosis-ro-systems/</t>
  </si>
  <si>
    <t>Assume price of equipment/installation/delivery included in initial investment parameters</t>
  </si>
  <si>
    <t>Water treatment</t>
  </si>
  <si>
    <t>Equipment sales tax</t>
  </si>
  <si>
    <t>S. Boston (6.3)</t>
  </si>
  <si>
    <t>Winchester (5.3)</t>
  </si>
  <si>
    <t>Power outage costs</t>
  </si>
  <si>
    <t>Machinery and furniture sales tax</t>
  </si>
  <si>
    <t>*Inland container transfer facility served by rail to NY, NJ, and DC</t>
  </si>
  <si>
    <t>Population in 200 miles</t>
  </si>
  <si>
    <t>Population in 300 miles</t>
  </si>
  <si>
    <t>Manufacturing is highly vulnerable to these costs- food spoilage, equipment damage</t>
  </si>
  <si>
    <t>Need ODIN at ORNL to access the data</t>
  </si>
  <si>
    <t>Winchester- Shenandoah (co-op)</t>
  </si>
  <si>
    <t>S. Boston- Dominion (investor-owned)</t>
  </si>
  <si>
    <t>8760 hours per year</t>
  </si>
  <si>
    <t>Co-op have greater outages (average 6 h per year) than investor-owned (average 4 h per year) . https://www.eia.gov/todayinenergy/detail.php?id=35652</t>
  </si>
  <si>
    <t>Estimated profit loss due to power outages</t>
  </si>
  <si>
    <t>Price of average flight</t>
  </si>
  <si>
    <t>https://www.transtats.bts.gov/averagefare/</t>
  </si>
  <si>
    <t>75 (Raleigh-Durham)</t>
  </si>
  <si>
    <t>57.5 (Dulles)</t>
  </si>
  <si>
    <t>Commercial airport (mi)</t>
  </si>
  <si>
    <t>Logistics: 1PL</t>
  </si>
  <si>
    <t>Lowest freight costs for shortest distances: Winchester</t>
  </si>
  <si>
    <t>Average cost to ship beverages</t>
  </si>
  <si>
    <t>Use TL (truckloads) and book for outbound region (always in our area, then ship to specific state)</t>
  </si>
  <si>
    <t>Raleigh/Durham (70.7), Greensboro (72.7), Norfolk (170), Richmond (118)</t>
  </si>
  <si>
    <t>Baltimore (104), Washington (90.1), Philadelphia (207), Richmond (146)</t>
  </si>
  <si>
    <t>population of 4 cities</t>
  </si>
  <si>
    <t>Greensboro</t>
  </si>
  <si>
    <t>Norfolk</t>
  </si>
  <si>
    <t>Richmond</t>
  </si>
  <si>
    <t>Baltimore</t>
  </si>
  <si>
    <t>Washington DC</t>
  </si>
  <si>
    <t>Philadelphia</t>
  </si>
  <si>
    <t>Average distances to ship (top 4 cities)</t>
  </si>
  <si>
    <t>5 48 x 48 x 24 pallets of 2200 lbs each, 1 TL, So boston to dc</t>
  </si>
  <si>
    <t>Winchester to DC</t>
  </si>
  <si>
    <t>Winchester to Baltimore</t>
  </si>
  <si>
    <t>Winchester to Philly</t>
  </si>
  <si>
    <t>Winchester to Richmond</t>
  </si>
  <si>
    <t>https://www.freightquote.com/book/#/quote-summary</t>
  </si>
  <si>
    <t>So. Boston to Raleigh</t>
  </si>
  <si>
    <t>So. Boston to Greensboro</t>
  </si>
  <si>
    <t>So. Boston to Norfolk</t>
  </si>
  <si>
    <t>So. Boston to Richmond</t>
  </si>
  <si>
    <t>https://coyote.com/get-a-quote/?service=Truckload</t>
  </si>
  <si>
    <t>Average cost to ship 11,000 lb</t>
  </si>
  <si>
    <t>Shipping is cheaper for So. Boston but reaches 1/6 the customers</t>
  </si>
  <si>
    <t>Raleigh-Durham</t>
  </si>
  <si>
    <t>Compare CPI for these cities to see who would buy.</t>
  </si>
  <si>
    <t xml:space="preserve">BLS: </t>
  </si>
  <si>
    <t>Nonalcoholic beverages and beverage materials in U.S. city average, all urban consumers, seasonally adjusted</t>
  </si>
  <si>
    <t>Area:</t>
  </si>
  <si>
    <t>U.S. city average</t>
  </si>
  <si>
    <t>C</t>
  </si>
  <si>
    <t>CPI for all urban consumers for our category</t>
  </si>
  <si>
    <t>City</t>
  </si>
  <si>
    <t>COL difference</t>
  </si>
  <si>
    <t>Winchester, VA</t>
  </si>
  <si>
    <t>Baltimore, MD</t>
  </si>
  <si>
    <t>Philadelphia, PA</t>
  </si>
  <si>
    <t>Washington, DC</t>
  </si>
  <si>
    <t>Lynchburg, VA</t>
  </si>
  <si>
    <t>Raleigh, NC</t>
  </si>
  <si>
    <t>Richmond, VA</t>
  </si>
  <si>
    <t>Durham, NC</t>
  </si>
  <si>
    <t>Greensboro, NC</t>
  </si>
  <si>
    <t>- if can get ingredients locally, will get better profit (don't know their specific supply chain)</t>
  </si>
  <si>
    <t>50000 sq ft x 28 ft</t>
  </si>
  <si>
    <t>based on gross receipts</t>
  </si>
  <si>
    <t>Price per sq ft</t>
  </si>
  <si>
    <t>55208- 205000</t>
  </si>
  <si>
    <t>M-1 (light industrial)</t>
  </si>
  <si>
    <t>M-2 (heavy industrial)</t>
  </si>
  <si>
    <t>Occupation share</t>
  </si>
  <si>
    <t>Retail</t>
  </si>
  <si>
    <t>Educational services</t>
  </si>
  <si>
    <t>Manufacturing</t>
  </si>
  <si>
    <t>Health care/social assistance</t>
  </si>
  <si>
    <t>Share</t>
  </si>
  <si>
    <t>Accomodation and food</t>
  </si>
  <si>
    <t>Most numerous occupations</t>
  </si>
  <si>
    <t>supervisor</t>
  </si>
  <si>
    <t>batchmaker</t>
  </si>
  <si>
    <t>technician</t>
  </si>
  <si>
    <t>packer</t>
  </si>
  <si>
    <t>mean</t>
  </si>
  <si>
    <t>sum of pp taxes</t>
  </si>
  <si>
    <t>-more customers who can afford product live near Winchester</t>
  </si>
  <si>
    <t>liquid refreshment beverages are preferred by millenials, who cluster in cities</t>
  </si>
  <si>
    <t>Gas</t>
  </si>
  <si>
    <t>Internet</t>
  </si>
  <si>
    <r>
      <t>According to </t>
    </r>
    <r>
      <rPr>
        <i/>
        <sz val="11"/>
        <color rgb="FF59595C"/>
        <rFont val="Calibri"/>
        <family val="2"/>
        <scheme val="minor"/>
      </rPr>
      <t>Madison Gas and Electric</t>
    </r>
    <r>
      <rPr>
        <sz val="11"/>
        <color rgb="FF59595C"/>
        <rFont val="Calibri"/>
        <family val="2"/>
        <scheme val="minor"/>
      </rPr>
      <t>, “warehouses in the U.S. use an average of 7.6 kilowatt-hours (kWh) of electricity and 20,900 Btu of natural gas per square foot annually,” (Madison).</t>
    </r>
  </si>
  <si>
    <t>Need 3M BTU/day (not per month)</t>
  </si>
  <si>
    <t>https://ouc.bizenergyadvisor.com/article/warehouses</t>
  </si>
  <si>
    <t>Tax Credit</t>
  </si>
  <si>
    <t>Incentive 7</t>
  </si>
  <si>
    <t>Work Opportunity Tax Credit: 40% of up to $6,000 of wages paid to employee who is in their first year of employment, a member of one of 10 targeted groups, and completes 400 hours of work for the employer.</t>
  </si>
  <si>
    <t>$2400/employee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</si>
</sst>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quot;$&quot;#,##0.0_);[Red]\(&quot;$&quot;#,##0.0\)"/>
    <numFmt numFmtId="165" formatCode="&quot;$&quot;#,##0.0000_);[Red]\(&quot;$&quot;#,##0.0000\)"/>
    <numFmt numFmtId="166" formatCode="&quot;$&quot;#,##0.000_);[Red]\(&quot;$&quot;#,##0.000\)"/>
  </numFmts>
  <fonts count="52" x14ac:knownFonts="1">
    <font>
      <sz val="11"/>
      <color theme="1"/>
      <name val="Calibri"/>
      <family val="2"/>
      <scheme val="minor"/>
    </font>
    <font>
      <sz val="12"/>
      <color theme="1"/>
      <name val="Calibri"/>
      <family val="2"/>
      <scheme val="minor"/>
    </font>
    <font>
      <u/>
      <sz val="12"/>
      <color theme="10"/>
      <name val="Calibri"/>
      <family val="2"/>
      <scheme val="minor"/>
    </font>
    <font>
      <b/>
      <sz val="12"/>
      <color theme="0"/>
      <name val="Calibri"/>
      <family val="2"/>
      <scheme val="minor"/>
    </font>
    <font>
      <sz val="12"/>
      <color theme="1"/>
      <name val="Arial"/>
      <family val="2"/>
    </font>
    <font>
      <sz val="11"/>
      <color theme="1"/>
      <name val="Arial"/>
      <family val="2"/>
    </font>
    <font>
      <b/>
      <sz val="12"/>
      <color theme="1"/>
      <name val="Arial"/>
      <family val="2"/>
    </font>
    <font>
      <b/>
      <sz val="11"/>
      <color theme="1"/>
      <name val="Arial"/>
      <family val="2"/>
    </font>
    <font>
      <sz val="11"/>
      <color theme="0"/>
      <name val="Arial"/>
      <family val="2"/>
    </font>
    <font>
      <b/>
      <sz val="11"/>
      <color theme="0"/>
      <name val="Arial"/>
      <family val="2"/>
    </font>
    <font>
      <sz val="11"/>
      <name val="Arial"/>
      <family val="2"/>
    </font>
    <font>
      <b/>
      <sz val="11"/>
      <name val="Arial"/>
      <family val="2"/>
    </font>
    <font>
      <sz val="11"/>
      <color theme="1"/>
      <name val="Times New Roman"/>
      <family val="1"/>
    </font>
    <font>
      <u/>
      <sz val="11"/>
      <color theme="10"/>
      <name val="Calibri"/>
      <family val="2"/>
      <scheme val="minor"/>
    </font>
    <font>
      <sz val="8"/>
      <color rgb="FF000000"/>
      <name val="Arial"/>
      <family val="2"/>
    </font>
    <font>
      <b/>
      <sz val="11"/>
      <color rgb="FF000000"/>
      <name val="Times New Roman"/>
      <family val="1"/>
    </font>
    <font>
      <sz val="11"/>
      <color rgb="FF000000"/>
      <name val="Times New Roman"/>
      <family val="1"/>
    </font>
    <font>
      <b/>
      <sz val="11"/>
      <color rgb="FFFFFFFF"/>
      <name val="Times New Roman"/>
      <family val="1"/>
    </font>
    <font>
      <b/>
      <sz val="11"/>
      <color theme="1"/>
      <name val="Times New Roman"/>
      <family val="1"/>
    </font>
    <font>
      <vertAlign val="superscript"/>
      <sz val="11"/>
      <color theme="1"/>
      <name val="Calibri"/>
      <family val="2"/>
      <scheme val="minor"/>
    </font>
    <font>
      <b/>
      <sz val="9"/>
      <color rgb="FF002941"/>
      <name val="Arial"/>
      <family val="2"/>
    </font>
    <font>
      <sz val="10"/>
      <color rgb="FF00000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7"/>
      <color rgb="FF333333"/>
      <name val="Tahoma"/>
      <family val="2"/>
    </font>
    <font>
      <sz val="9"/>
      <color rgb="FF212529"/>
      <name val="Montserrat"/>
    </font>
    <font>
      <sz val="11"/>
      <name val="Calibri"/>
      <family val="2"/>
      <scheme val="minor"/>
    </font>
    <font>
      <b/>
      <sz val="11"/>
      <name val="Calibri"/>
      <family val="2"/>
      <scheme val="minor"/>
    </font>
    <font>
      <sz val="11"/>
      <color rgb="FF002941"/>
      <name val="Calibri"/>
      <family val="2"/>
      <scheme val="minor"/>
    </font>
    <font>
      <sz val="11"/>
      <color rgb="FF3F3F3F"/>
      <name val="Calibri"/>
      <family val="2"/>
      <scheme val="minor"/>
    </font>
    <font>
      <sz val="11"/>
      <name val="Calibri"/>
      <family val="2"/>
    </font>
    <font>
      <b/>
      <sz val="11"/>
      <color theme="0"/>
      <name val="Calibri"/>
      <family val="2"/>
    </font>
    <font>
      <b/>
      <sz val="11"/>
      <name val="Calibri"/>
      <family val="2"/>
    </font>
    <font>
      <sz val="11"/>
      <color rgb="FF333333"/>
      <name val="Calibri"/>
      <family val="2"/>
      <scheme val="minor"/>
    </font>
    <font>
      <sz val="11"/>
      <color rgb="FF212529"/>
      <name val="Calibri"/>
      <family val="2"/>
      <scheme val="minor"/>
    </font>
    <font>
      <sz val="11"/>
      <color rgb="FF1D1D26"/>
      <name val="Calibri"/>
      <family val="2"/>
      <scheme val="minor"/>
    </font>
    <font>
      <sz val="12"/>
      <color rgb="FF1F2525"/>
      <name val="Roboto"/>
    </font>
    <font>
      <b/>
      <u/>
      <sz val="11"/>
      <color theme="1"/>
      <name val="Calibri"/>
      <family val="2"/>
      <scheme val="minor"/>
    </font>
    <font>
      <b/>
      <sz val="11"/>
      <color rgb="FFFFFFFF"/>
      <name val="Calibri"/>
      <family val="2"/>
      <scheme val="minor"/>
    </font>
    <font>
      <b/>
      <u/>
      <sz val="11"/>
      <color theme="10"/>
      <name val="Calibri"/>
      <family val="2"/>
      <scheme val="minor"/>
    </font>
    <font>
      <b/>
      <sz val="11"/>
      <color rgb="FF2C3E50"/>
      <name val="Calibri"/>
      <family val="2"/>
      <scheme val="minor"/>
    </font>
    <font>
      <sz val="11"/>
      <color rgb="FF000000"/>
      <name val="Calibri"/>
      <family val="2"/>
      <scheme val="minor"/>
    </font>
    <font>
      <b/>
      <sz val="11"/>
      <color rgb="FF000000"/>
      <name val="Calibri"/>
      <family val="2"/>
      <scheme val="minor"/>
    </font>
    <font>
      <b/>
      <sz val="10"/>
      <color rgb="FF202124"/>
      <name val="Roboto"/>
    </font>
    <font>
      <sz val="11"/>
      <color rgb="FF202124"/>
      <name val="Calibri Light"/>
      <family val="2"/>
      <scheme val="major"/>
    </font>
    <font>
      <sz val="7"/>
      <color rgb="FF000000"/>
      <name val="Arial"/>
      <family val="2"/>
    </font>
    <font>
      <b/>
      <sz val="7"/>
      <color rgb="FF000000"/>
      <name val="Arial"/>
      <family val="2"/>
    </font>
    <font>
      <sz val="11"/>
      <color rgb="FF59595C"/>
      <name val="Calibri"/>
      <family val="2"/>
      <scheme val="minor"/>
    </font>
    <font>
      <i/>
      <sz val="11"/>
      <color rgb="FF59595C"/>
      <name val="Calibri"/>
      <family val="2"/>
      <scheme val="minor"/>
    </font>
    <font>
      <sz val="12"/>
      <color rgb="FF1F2525"/>
      <name val="Arial"/>
      <family val="2"/>
    </font>
  </fonts>
  <fills count="12">
    <fill>
      <patternFill patternType="none"/>
    </fill>
    <fill>
      <patternFill patternType="gray125"/>
    </fill>
    <fill>
      <patternFill patternType="solid">
        <fgColor rgb="FFA5A5A5"/>
      </patternFill>
    </fill>
    <fill>
      <patternFill patternType="solid">
        <fgColor rgb="FFFFFFFF"/>
        <bgColor indexed="64"/>
      </patternFill>
    </fill>
    <fill>
      <patternFill patternType="solid">
        <fgColor rgb="FF0000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EEF4FF"/>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indexed="64"/>
      </top>
      <bottom style="double">
        <color indexed="64"/>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s>
  <cellStyleXfs count="7">
    <xf numFmtId="0" fontId="0"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2" borderId="1" applyNumberFormat="0" applyAlignment="0" applyProtection="0"/>
    <xf numFmtId="0" fontId="13" fillId="0" borderId="0" applyNumberFormat="0" applyFill="0" applyBorder="0" applyAlignment="0" applyProtection="0"/>
  </cellStyleXfs>
  <cellXfs count="208">
    <xf numFmtId="0" fontId="0" fillId="0" borderId="0" xfId="0"/>
    <xf numFmtId="0" fontId="7" fillId="5" borderId="2" xfId="1" applyFont="1" applyFill="1" applyBorder="1" applyAlignment="1">
      <alignment vertical="center" wrapText="1"/>
    </xf>
    <xf numFmtId="42" fontId="5" fillId="0" borderId="0" xfId="2" applyNumberFormat="1" applyFont="1" applyFill="1" applyBorder="1" applyAlignment="1">
      <alignment horizontal="center" vertical="center"/>
    </xf>
    <xf numFmtId="42" fontId="5" fillId="0" borderId="2" xfId="2" applyNumberFormat="1" applyFont="1" applyFill="1" applyBorder="1" applyAlignment="1">
      <alignment horizontal="center" vertical="center"/>
    </xf>
    <xf numFmtId="0" fontId="7" fillId="0" borderId="0" xfId="1" applyFont="1" applyAlignment="1">
      <alignment horizontal="left" vertical="center"/>
    </xf>
    <xf numFmtId="0" fontId="5" fillId="0" borderId="0" xfId="1" applyFont="1" applyAlignment="1">
      <alignment horizontal="center" vertical="center"/>
    </xf>
    <xf numFmtId="0" fontId="5" fillId="0" borderId="0" xfId="1" applyFont="1" applyAlignment="1">
      <alignment vertical="center" wrapText="1"/>
    </xf>
    <xf numFmtId="0" fontId="7" fillId="5" borderId="2" xfId="1" applyFont="1" applyFill="1" applyBorder="1" applyAlignment="1">
      <alignment horizontal="center" vertical="center" wrapText="1"/>
    </xf>
    <xf numFmtId="42" fontId="7" fillId="5" borderId="2" xfId="1" applyNumberFormat="1" applyFont="1" applyFill="1" applyBorder="1" applyAlignment="1">
      <alignment horizontal="center" vertical="center"/>
    </xf>
    <xf numFmtId="0" fontId="8" fillId="3" borderId="0" xfId="1" applyFont="1" applyFill="1" applyAlignment="1">
      <alignment vertical="center"/>
    </xf>
    <xf numFmtId="0" fontId="9" fillId="4" borderId="2" xfId="1" applyFont="1" applyFill="1" applyBorder="1" applyAlignment="1">
      <alignment horizontal="left" vertical="center"/>
    </xf>
    <xf numFmtId="0" fontId="8" fillId="4" borderId="2" xfId="1" applyFont="1" applyFill="1" applyBorder="1" applyAlignment="1">
      <alignment horizontal="center" vertical="center"/>
    </xf>
    <xf numFmtId="0" fontId="8" fillId="4" borderId="2" xfId="1" applyFont="1" applyFill="1" applyBorder="1" applyAlignment="1">
      <alignment vertical="center" wrapText="1"/>
    </xf>
    <xf numFmtId="42" fontId="9" fillId="4" borderId="2" xfId="1" applyNumberFormat="1" applyFont="1" applyFill="1" applyBorder="1" applyAlignment="1">
      <alignment horizontal="center" vertical="center"/>
    </xf>
    <xf numFmtId="0" fontId="5" fillId="0" borderId="2" xfId="1" applyFont="1" applyBorder="1" applyAlignment="1">
      <alignment horizontal="left" vertical="center" wrapText="1" indent="1"/>
    </xf>
    <xf numFmtId="0" fontId="5" fillId="0" borderId="2" xfId="1" applyFont="1" applyBorder="1" applyAlignment="1">
      <alignment horizontal="center" vertical="center"/>
    </xf>
    <xf numFmtId="0" fontId="5" fillId="0" borderId="2" xfId="1" applyFont="1" applyBorder="1" applyAlignment="1">
      <alignment vertical="center" wrapText="1"/>
    </xf>
    <xf numFmtId="0" fontId="7" fillId="6" borderId="2" xfId="1" applyFont="1" applyFill="1" applyBorder="1" applyAlignment="1">
      <alignment vertical="center" wrapText="1"/>
    </xf>
    <xf numFmtId="0" fontId="7" fillId="6" borderId="2" xfId="1" applyFont="1" applyFill="1" applyBorder="1" applyAlignment="1">
      <alignment horizontal="center" vertical="center"/>
    </xf>
    <xf numFmtId="42" fontId="7" fillId="6" borderId="2" xfId="2" applyNumberFormat="1" applyFont="1" applyFill="1" applyBorder="1" applyAlignment="1">
      <alignment horizontal="center" vertical="center"/>
    </xf>
    <xf numFmtId="42" fontId="10" fillId="0" borderId="2" xfId="2" applyNumberFormat="1" applyFont="1" applyFill="1" applyBorder="1" applyAlignment="1">
      <alignment horizontal="center" vertical="center"/>
    </xf>
    <xf numFmtId="42" fontId="11" fillId="6" borderId="2" xfId="2" applyNumberFormat="1" applyFont="1" applyFill="1" applyBorder="1" applyAlignment="1">
      <alignment horizontal="center" vertical="center"/>
    </xf>
    <xf numFmtId="0" fontId="9" fillId="4" borderId="0" xfId="1" applyFont="1" applyFill="1" applyAlignment="1">
      <alignment horizontal="left" vertical="center"/>
    </xf>
    <xf numFmtId="0" fontId="8" fillId="4" borderId="0" xfId="1" applyFont="1" applyFill="1" applyAlignment="1">
      <alignment horizontal="center" vertical="center"/>
    </xf>
    <xf numFmtId="0" fontId="8" fillId="4" borderId="0" xfId="1" applyFont="1" applyFill="1" applyAlignment="1">
      <alignment vertical="center" wrapText="1"/>
    </xf>
    <xf numFmtId="42" fontId="9" fillId="4" borderId="3" xfId="1" applyNumberFormat="1" applyFont="1" applyFill="1" applyBorder="1" applyAlignment="1">
      <alignment vertical="center"/>
    </xf>
    <xf numFmtId="42" fontId="11" fillId="5" borderId="2" xfId="1" applyNumberFormat="1" applyFont="1" applyFill="1" applyBorder="1" applyAlignment="1">
      <alignment horizontal="center" vertical="center"/>
    </xf>
    <xf numFmtId="42" fontId="7" fillId="6" borderId="2" xfId="2" applyNumberFormat="1" applyFont="1" applyFill="1" applyBorder="1" applyAlignment="1">
      <alignment horizontal="right" vertical="center"/>
    </xf>
    <xf numFmtId="0" fontId="5" fillId="0" borderId="0" xfId="1" applyFont="1" applyAlignment="1">
      <alignment vertical="center"/>
    </xf>
    <xf numFmtId="0" fontId="7" fillId="0" borderId="0" xfId="1" applyFont="1" applyAlignment="1">
      <alignment vertical="center" wrapText="1"/>
    </xf>
    <xf numFmtId="0" fontId="7" fillId="0" borderId="0" xfId="1" applyFont="1" applyAlignment="1">
      <alignment horizontal="center" vertical="center" wrapText="1"/>
    </xf>
    <xf numFmtId="42" fontId="7" fillId="0" borderId="0" xfId="1" applyNumberFormat="1" applyFont="1" applyAlignment="1">
      <alignment horizontal="center" vertical="center"/>
    </xf>
    <xf numFmtId="0" fontId="7" fillId="0" borderId="0" xfId="1" applyFont="1" applyAlignment="1">
      <alignment vertical="center"/>
    </xf>
    <xf numFmtId="42" fontId="10" fillId="3" borderId="0" xfId="2" applyNumberFormat="1" applyFont="1" applyFill="1" applyBorder="1" applyAlignment="1">
      <alignment horizontal="right" vertical="center"/>
    </xf>
    <xf numFmtId="0" fontId="5" fillId="0" borderId="0" xfId="1" applyFont="1" applyAlignment="1">
      <alignment horizontal="center" vertical="center" wrapText="1"/>
    </xf>
    <xf numFmtId="42" fontId="5" fillId="0" borderId="0" xfId="2" applyNumberFormat="1" applyFont="1" applyBorder="1" applyAlignment="1">
      <alignment vertical="center"/>
    </xf>
    <xf numFmtId="42" fontId="5" fillId="0" borderId="0" xfId="1" applyNumberFormat="1" applyFont="1" applyAlignment="1">
      <alignment vertical="center"/>
    </xf>
    <xf numFmtId="0" fontId="5" fillId="0" borderId="0" xfId="1" applyFont="1" applyAlignment="1">
      <alignment horizontal="left" vertical="center"/>
    </xf>
    <xf numFmtId="0" fontId="6" fillId="0" borderId="4" xfId="1" applyFont="1" applyBorder="1" applyAlignment="1">
      <alignment horizontal="left" vertical="center" wrapText="1"/>
    </xf>
    <xf numFmtId="42" fontId="6" fillId="7" borderId="4" xfId="1" applyNumberFormat="1" applyFont="1" applyFill="1" applyBorder="1" applyAlignment="1">
      <alignment vertical="center"/>
    </xf>
    <xf numFmtId="42" fontId="4" fillId="0" borderId="0" xfId="2" applyNumberFormat="1" applyFont="1" applyBorder="1" applyAlignment="1">
      <alignment horizontal="center" vertical="center"/>
    </xf>
    <xf numFmtId="42" fontId="4" fillId="0" borderId="0" xfId="2" applyNumberFormat="1" applyFont="1" applyFill="1" applyBorder="1" applyAlignment="1">
      <alignment horizontal="center" vertical="center"/>
    </xf>
    <xf numFmtId="0" fontId="4" fillId="0" borderId="0" xfId="1" applyFont="1" applyAlignment="1">
      <alignment horizontal="left" vertical="center" wrapText="1" indent="1"/>
    </xf>
    <xf numFmtId="0" fontId="4" fillId="0" borderId="0" xfId="1" applyFont="1" applyAlignment="1">
      <alignment horizontal="left" vertical="center" indent="1"/>
    </xf>
    <xf numFmtId="0" fontId="5" fillId="0" borderId="2" xfId="1" applyFont="1" applyBorder="1" applyAlignment="1">
      <alignment horizontal="left" vertical="center" wrapText="1"/>
    </xf>
    <xf numFmtId="0" fontId="12" fillId="0" borderId="0" xfId="0" applyFont="1" applyAlignment="1">
      <alignment vertical="center"/>
    </xf>
    <xf numFmtId="0" fontId="0" fillId="0" borderId="0" xfId="0" applyAlignment="1">
      <alignment wrapText="1"/>
    </xf>
    <xf numFmtId="8" fontId="0" fillId="0" borderId="0" xfId="0" applyNumberFormat="1"/>
    <xf numFmtId="0" fontId="13" fillId="0" borderId="0" xfId="6"/>
    <xf numFmtId="6" fontId="0" fillId="0" borderId="0" xfId="0" applyNumberFormat="1"/>
    <xf numFmtId="6" fontId="16" fillId="0" borderId="0" xfId="0" applyNumberFormat="1" applyFont="1" applyAlignment="1">
      <alignment horizontal="center" vertical="center"/>
    </xf>
    <xf numFmtId="0" fontId="16" fillId="0" borderId="0" xfId="0" applyFont="1" applyAlignment="1">
      <alignment vertical="center" wrapText="1"/>
    </xf>
    <xf numFmtId="0" fontId="16" fillId="0" borderId="0" xfId="0" applyFont="1" applyAlignment="1">
      <alignment vertical="center"/>
    </xf>
    <xf numFmtId="0" fontId="18" fillId="0" borderId="0" xfId="0" applyFont="1" applyAlignment="1">
      <alignment horizontal="center" vertical="center" wrapText="1"/>
    </xf>
    <xf numFmtId="0" fontId="12" fillId="0" borderId="0" xfId="0" applyFont="1" applyAlignment="1">
      <alignment horizontal="center" vertical="center" wrapText="1"/>
    </xf>
    <xf numFmtId="164" fontId="0" fillId="0" borderId="0" xfId="0" applyNumberFormat="1"/>
    <xf numFmtId="0" fontId="15" fillId="0" borderId="0" xfId="0" applyFont="1" applyAlignment="1">
      <alignment vertical="center"/>
    </xf>
    <xf numFmtId="0" fontId="15" fillId="0" borderId="0" xfId="0" applyFont="1" applyAlignment="1">
      <alignment horizontal="center" vertical="center"/>
    </xf>
    <xf numFmtId="6" fontId="16" fillId="0" borderId="0" xfId="0" applyNumberFormat="1" applyFont="1" applyAlignment="1">
      <alignment horizontal="right" vertical="center"/>
    </xf>
    <xf numFmtId="3" fontId="0" fillId="0" borderId="0" xfId="0" applyNumberFormat="1"/>
    <xf numFmtId="6" fontId="16" fillId="0" borderId="0" xfId="0" applyNumberFormat="1" applyFont="1" applyAlignment="1">
      <alignment horizontal="center" vertical="center" wrapText="1"/>
    </xf>
    <xf numFmtId="8" fontId="21" fillId="0" borderId="0" xfId="0" applyNumberFormat="1" applyFont="1"/>
    <xf numFmtId="0" fontId="0" fillId="0" borderId="0" xfId="0" quotePrefix="1"/>
    <xf numFmtId="0" fontId="17" fillId="0" borderId="0" xfId="0" applyFont="1" applyAlignment="1">
      <alignment horizontal="center" vertical="center" wrapText="1"/>
    </xf>
    <xf numFmtId="0" fontId="24" fillId="0" borderId="0" xfId="0" applyFont="1"/>
    <xf numFmtId="6" fontId="14" fillId="0" borderId="0" xfId="0" applyNumberFormat="1" applyFont="1"/>
    <xf numFmtId="6" fontId="26" fillId="0" borderId="0" xfId="0" applyNumberFormat="1" applyFont="1"/>
    <xf numFmtId="0" fontId="27" fillId="0" borderId="0" xfId="0" applyFont="1" applyAlignment="1">
      <alignment horizontal="left" vertical="center" indent="1"/>
    </xf>
    <xf numFmtId="0" fontId="22" fillId="0" borderId="0" xfId="1" applyFont="1" applyAlignment="1">
      <alignment vertical="center"/>
    </xf>
    <xf numFmtId="0" fontId="22" fillId="0" borderId="2" xfId="1" applyFont="1" applyBorder="1" applyAlignment="1">
      <alignment vertical="center" wrapText="1"/>
    </xf>
    <xf numFmtId="0" fontId="24" fillId="0" borderId="0" xfId="1" applyFont="1" applyAlignment="1">
      <alignment vertical="center"/>
    </xf>
    <xf numFmtId="0" fontId="22" fillId="0" borderId="0" xfId="1" applyFont="1" applyAlignment="1">
      <alignment vertical="center" wrapText="1"/>
    </xf>
    <xf numFmtId="0" fontId="25" fillId="3" borderId="0" xfId="1" applyFont="1" applyFill="1" applyAlignment="1">
      <alignment vertical="center"/>
    </xf>
    <xf numFmtId="0" fontId="22" fillId="0" borderId="2" xfId="1" applyFont="1" applyBorder="1" applyAlignment="1">
      <alignment vertical="center"/>
    </xf>
    <xf numFmtId="0" fontId="24" fillId="6" borderId="2" xfId="1" applyFont="1" applyFill="1" applyBorder="1" applyAlignment="1">
      <alignment vertical="center"/>
    </xf>
    <xf numFmtId="0" fontId="24" fillId="5" borderId="2" xfId="1" applyFont="1" applyFill="1" applyBorder="1" applyAlignment="1">
      <alignment vertical="center"/>
    </xf>
    <xf numFmtId="0" fontId="25" fillId="4" borderId="0" xfId="1" applyFont="1" applyFill="1" applyAlignment="1">
      <alignment vertical="center"/>
    </xf>
    <xf numFmtId="0" fontId="32" fillId="0" borderId="0" xfId="1" applyFont="1" applyAlignment="1">
      <alignment vertical="center"/>
    </xf>
    <xf numFmtId="0" fontId="33" fillId="4" borderId="2" xfId="1" applyFont="1" applyFill="1" applyBorder="1" applyAlignment="1">
      <alignment horizontal="left" vertical="center"/>
    </xf>
    <xf numFmtId="0" fontId="32" fillId="0" borderId="0" xfId="1" applyFont="1" applyAlignment="1">
      <alignment vertical="center" wrapText="1"/>
    </xf>
    <xf numFmtId="0" fontId="32" fillId="0" borderId="0" xfId="1" applyFont="1" applyAlignment="1">
      <alignment horizontal="center" vertical="center" wrapText="1"/>
    </xf>
    <xf numFmtId="0" fontId="32" fillId="5" borderId="2" xfId="1" applyFont="1" applyFill="1" applyBorder="1" applyAlignment="1">
      <alignment vertical="center" wrapText="1"/>
    </xf>
    <xf numFmtId="0" fontId="32" fillId="5" borderId="2" xfId="1" applyFont="1" applyFill="1" applyBorder="1" applyAlignment="1">
      <alignment horizontal="center" vertical="center" wrapText="1"/>
    </xf>
    <xf numFmtId="0" fontId="32" fillId="4" borderId="2" xfId="1" applyFont="1" applyFill="1" applyBorder="1" applyAlignment="1">
      <alignment horizontal="center" vertical="center"/>
    </xf>
    <xf numFmtId="0" fontId="32" fillId="4" borderId="2" xfId="1" applyFont="1" applyFill="1" applyBorder="1" applyAlignment="1">
      <alignment vertical="center" wrapText="1"/>
    </xf>
    <xf numFmtId="0" fontId="32" fillId="0" borderId="2" xfId="1" applyFont="1" applyBorder="1" applyAlignment="1">
      <alignment horizontal="left" vertical="center" wrapText="1" indent="1"/>
    </xf>
    <xf numFmtId="0" fontId="32" fillId="0" borderId="2" xfId="1" applyFont="1" applyBorder="1" applyAlignment="1">
      <alignment horizontal="left" vertical="top" wrapText="1"/>
    </xf>
    <xf numFmtId="0" fontId="32" fillId="0" borderId="2" xfId="1" applyFont="1" applyBorder="1" applyAlignment="1">
      <alignment horizontal="center" vertical="center"/>
    </xf>
    <xf numFmtId="0" fontId="32" fillId="0" borderId="0" xfId="0" applyFont="1" applyAlignment="1">
      <alignment wrapText="1"/>
    </xf>
    <xf numFmtId="0" fontId="32" fillId="0" borderId="2" xfId="1" applyFont="1" applyBorder="1" applyAlignment="1">
      <alignment vertical="center"/>
    </xf>
    <xf numFmtId="0" fontId="32" fillId="6" borderId="2" xfId="1" applyFont="1" applyFill="1" applyBorder="1" applyAlignment="1">
      <alignment horizontal="center" vertical="center"/>
    </xf>
    <xf numFmtId="0" fontId="32" fillId="6" borderId="2" xfId="1" applyFont="1" applyFill="1" applyBorder="1" applyAlignment="1">
      <alignment vertical="center"/>
    </xf>
    <xf numFmtId="42" fontId="32" fillId="0" borderId="0" xfId="1" applyNumberFormat="1" applyFont="1" applyAlignment="1">
      <alignment horizontal="center" vertical="center" wrapText="1"/>
    </xf>
    <xf numFmtId="42" fontId="32" fillId="0" borderId="0" xfId="2" applyNumberFormat="1" applyFont="1" applyFill="1" applyBorder="1" applyAlignment="1">
      <alignment horizontal="center" vertical="center" wrapText="1"/>
    </xf>
    <xf numFmtId="42" fontId="32" fillId="5" borderId="2" xfId="1" applyNumberFormat="1" applyFont="1" applyFill="1" applyBorder="1" applyAlignment="1">
      <alignment horizontal="center" vertical="center" wrapText="1"/>
    </xf>
    <xf numFmtId="42" fontId="32" fillId="4" borderId="2" xfId="1" applyNumberFormat="1" applyFont="1" applyFill="1" applyBorder="1" applyAlignment="1">
      <alignment horizontal="center" vertical="center" wrapText="1"/>
    </xf>
    <xf numFmtId="42" fontId="32" fillId="0" borderId="2" xfId="2" applyNumberFormat="1" applyFont="1" applyFill="1" applyBorder="1" applyAlignment="1">
      <alignment horizontal="left" vertical="top" wrapText="1"/>
    </xf>
    <xf numFmtId="42" fontId="32" fillId="0" borderId="2" xfId="2" applyNumberFormat="1" applyFont="1" applyFill="1" applyBorder="1" applyAlignment="1">
      <alignment horizontal="center" vertical="center" wrapText="1"/>
    </xf>
    <xf numFmtId="42" fontId="32" fillId="6" borderId="2" xfId="2" applyNumberFormat="1" applyFont="1" applyFill="1" applyBorder="1" applyAlignment="1">
      <alignment horizontal="center" vertical="center" wrapText="1"/>
    </xf>
    <xf numFmtId="42" fontId="22" fillId="0" borderId="0" xfId="1" applyNumberFormat="1" applyFont="1" applyAlignment="1">
      <alignment vertical="center" wrapText="1"/>
    </xf>
    <xf numFmtId="42" fontId="29" fillId="5" borderId="2" xfId="1" applyNumberFormat="1" applyFont="1" applyFill="1" applyBorder="1" applyAlignment="1">
      <alignment horizontal="center" vertical="center" wrapText="1"/>
    </xf>
    <xf numFmtId="42" fontId="23" fillId="4" borderId="3" xfId="1" applyNumberFormat="1" applyFont="1" applyFill="1" applyBorder="1" applyAlignment="1">
      <alignment vertical="center" wrapText="1"/>
    </xf>
    <xf numFmtId="42" fontId="24" fillId="6" borderId="2" xfId="2" applyNumberFormat="1" applyFont="1" applyFill="1" applyBorder="1" applyAlignment="1">
      <alignment horizontal="right" vertical="center" wrapText="1"/>
    </xf>
    <xf numFmtId="42" fontId="28" fillId="0" borderId="2" xfId="2" applyNumberFormat="1" applyFont="1" applyFill="1" applyBorder="1" applyAlignment="1">
      <alignment horizontal="center" vertical="center" wrapText="1"/>
    </xf>
    <xf numFmtId="42" fontId="29" fillId="6" borderId="2" xfId="2" applyNumberFormat="1" applyFont="1" applyFill="1" applyBorder="1" applyAlignment="1">
      <alignment horizontal="center" vertical="center" wrapText="1"/>
    </xf>
    <xf numFmtId="42" fontId="5" fillId="0" borderId="0" xfId="1" applyNumberFormat="1" applyFont="1" applyAlignment="1">
      <alignment vertical="center" wrapText="1"/>
    </xf>
    <xf numFmtId="0" fontId="32" fillId="0" borderId="2" xfId="1" applyFont="1" applyBorder="1" applyAlignment="1">
      <alignment vertical="center" wrapText="1"/>
    </xf>
    <xf numFmtId="0" fontId="28" fillId="0" borderId="2" xfId="1" applyFont="1" applyBorder="1" applyAlignment="1">
      <alignment vertical="center"/>
    </xf>
    <xf numFmtId="0" fontId="28" fillId="0" borderId="0" xfId="1" applyFont="1" applyAlignment="1">
      <alignment horizontal="left" vertical="center"/>
    </xf>
    <xf numFmtId="42" fontId="28" fillId="0" borderId="0" xfId="2" applyNumberFormat="1" applyFont="1" applyBorder="1" applyAlignment="1">
      <alignment horizontal="center" vertical="center" wrapText="1"/>
    </xf>
    <xf numFmtId="42" fontId="28" fillId="0" borderId="0" xfId="2" applyNumberFormat="1" applyFont="1" applyFill="1" applyBorder="1" applyAlignment="1">
      <alignment horizontal="center" vertical="center" wrapText="1"/>
    </xf>
    <xf numFmtId="0" fontId="28" fillId="6" borderId="2" xfId="1" applyFont="1" applyFill="1" applyBorder="1" applyAlignment="1">
      <alignment vertical="center"/>
    </xf>
    <xf numFmtId="42" fontId="28" fillId="6" borderId="2" xfId="2" applyNumberFormat="1" applyFont="1" applyFill="1" applyBorder="1" applyAlignment="1">
      <alignment horizontal="center" vertical="center" wrapText="1"/>
    </xf>
    <xf numFmtId="42" fontId="28" fillId="6" borderId="2" xfId="2" applyNumberFormat="1" applyFont="1" applyFill="1" applyBorder="1" applyAlignment="1">
      <alignment horizontal="right" vertical="center" wrapText="1"/>
    </xf>
    <xf numFmtId="0" fontId="28" fillId="0" borderId="4" xfId="1" applyFont="1" applyBorder="1" applyAlignment="1">
      <alignment horizontal="left" vertical="center"/>
    </xf>
    <xf numFmtId="42" fontId="28" fillId="7" borderId="4" xfId="1" applyNumberFormat="1" applyFont="1" applyFill="1" applyBorder="1" applyAlignment="1">
      <alignment vertical="center" wrapText="1"/>
    </xf>
    <xf numFmtId="0" fontId="28" fillId="0" borderId="0" xfId="0" applyFont="1" applyAlignment="1">
      <alignment vertical="top" wrapText="1"/>
    </xf>
    <xf numFmtId="0" fontId="32" fillId="0" borderId="0" xfId="0" applyFont="1" applyAlignment="1">
      <alignment horizontal="left" vertical="top" wrapText="1"/>
    </xf>
    <xf numFmtId="0" fontId="32" fillId="0" borderId="2" xfId="1" applyFont="1" applyBorder="1" applyAlignment="1">
      <alignment horizontal="center" vertical="center" wrapText="1"/>
    </xf>
    <xf numFmtId="0" fontId="5" fillId="0" borderId="2" xfId="1" applyFont="1" applyBorder="1" applyAlignment="1">
      <alignment vertical="center"/>
    </xf>
    <xf numFmtId="0" fontId="20" fillId="0" borderId="0" xfId="0" applyFont="1" applyAlignment="1">
      <alignment horizontal="left" vertical="top"/>
    </xf>
    <xf numFmtId="0" fontId="5" fillId="0" borderId="0" xfId="1" applyFont="1" applyAlignment="1">
      <alignment horizontal="left" vertical="top"/>
    </xf>
    <xf numFmtId="0" fontId="7" fillId="0" borderId="6" xfId="1" applyFont="1" applyBorder="1" applyAlignment="1">
      <alignment horizontal="center" vertical="center"/>
    </xf>
    <xf numFmtId="0" fontId="28" fillId="0" borderId="6" xfId="1" applyFont="1" applyBorder="1" applyAlignment="1">
      <alignment vertical="center"/>
    </xf>
    <xf numFmtId="42" fontId="28" fillId="0" borderId="6" xfId="2" applyNumberFormat="1" applyFont="1" applyFill="1" applyBorder="1" applyAlignment="1">
      <alignment horizontal="right" vertical="center" wrapText="1"/>
    </xf>
    <xf numFmtId="0" fontId="7" fillId="0" borderId="2" xfId="1" applyFont="1" applyBorder="1" applyAlignment="1">
      <alignment horizontal="center" vertical="center"/>
    </xf>
    <xf numFmtId="42" fontId="28" fillId="0" borderId="2" xfId="2" applyNumberFormat="1" applyFont="1" applyFill="1" applyBorder="1" applyAlignment="1">
      <alignment horizontal="right" vertical="center" wrapText="1"/>
    </xf>
    <xf numFmtId="0" fontId="35" fillId="0" borderId="0" xfId="0" applyFont="1" applyAlignment="1">
      <alignment wrapText="1"/>
    </xf>
    <xf numFmtId="0" fontId="35" fillId="0" borderId="0" xfId="0" applyFont="1" applyAlignment="1">
      <alignment horizontal="left" vertical="top" wrapText="1"/>
    </xf>
    <xf numFmtId="0" fontId="22" fillId="0" borderId="0" xfId="1" applyFont="1" applyAlignment="1">
      <alignment horizontal="left" vertical="top"/>
    </xf>
    <xf numFmtId="0" fontId="22" fillId="0" borderId="0" xfId="1" applyFont="1" applyAlignment="1">
      <alignment horizontal="left" vertical="top" wrapText="1"/>
    </xf>
    <xf numFmtId="0" fontId="5" fillId="0" borderId="6" xfId="1" applyFont="1" applyBorder="1" applyAlignment="1">
      <alignment horizontal="center" vertical="center" wrapText="1"/>
    </xf>
    <xf numFmtId="0" fontId="5" fillId="0" borderId="6" xfId="1" applyFont="1" applyBorder="1" applyAlignment="1">
      <alignment vertical="center" wrapText="1"/>
    </xf>
    <xf numFmtId="42" fontId="5" fillId="0" borderId="6" xfId="1" applyNumberFormat="1" applyFont="1" applyBorder="1" applyAlignment="1">
      <alignment horizontal="right" vertical="center" wrapText="1"/>
    </xf>
    <xf numFmtId="0" fontId="32" fillId="0" borderId="6" xfId="0" applyFont="1" applyBorder="1" applyAlignment="1">
      <alignment horizontal="left" vertical="top" wrapText="1"/>
    </xf>
    <xf numFmtId="0" fontId="32" fillId="0" borderId="2" xfId="0" applyFont="1" applyBorder="1" applyAlignment="1">
      <alignment wrapText="1"/>
    </xf>
    <xf numFmtId="42" fontId="5" fillId="0" borderId="2" xfId="1" applyNumberFormat="1" applyFont="1" applyBorder="1" applyAlignment="1">
      <alignment vertical="center" wrapText="1"/>
    </xf>
    <xf numFmtId="0" fontId="32" fillId="0" borderId="6" xfId="0" applyFont="1" applyBorder="1" applyAlignment="1">
      <alignment vertical="center" wrapText="1"/>
    </xf>
    <xf numFmtId="0" fontId="32" fillId="0" borderId="2" xfId="0" applyFont="1" applyBorder="1" applyAlignment="1">
      <alignment vertical="center" wrapText="1"/>
    </xf>
    <xf numFmtId="0" fontId="13" fillId="0" borderId="0" xfId="6" applyAlignment="1">
      <alignment vertical="center"/>
    </xf>
    <xf numFmtId="42" fontId="22" fillId="0" borderId="0" xfId="2" applyNumberFormat="1" applyFont="1" applyBorder="1" applyAlignment="1">
      <alignment horizontal="left" vertical="top" wrapText="1"/>
    </xf>
    <xf numFmtId="0" fontId="22" fillId="10" borderId="0" xfId="1" applyFont="1" applyFill="1" applyAlignment="1">
      <alignment vertical="center"/>
    </xf>
    <xf numFmtId="0" fontId="5" fillId="10" borderId="0" xfId="1" applyFont="1" applyFill="1" applyAlignment="1">
      <alignment horizontal="center" vertical="center"/>
    </xf>
    <xf numFmtId="0" fontId="5" fillId="10" borderId="0" xfId="1" applyFont="1" applyFill="1" applyAlignment="1">
      <alignment vertical="center"/>
    </xf>
    <xf numFmtId="42" fontId="22" fillId="10" borderId="0" xfId="1" applyNumberFormat="1" applyFont="1" applyFill="1" applyAlignment="1">
      <alignment vertical="center" wrapText="1"/>
    </xf>
    <xf numFmtId="0" fontId="5" fillId="0" borderId="6" xfId="1" applyFont="1" applyBorder="1" applyAlignment="1">
      <alignment vertical="center"/>
    </xf>
    <xf numFmtId="0" fontId="28" fillId="0" borderId="2" xfId="0" applyFont="1" applyBorder="1" applyAlignment="1">
      <alignment wrapText="1"/>
    </xf>
    <xf numFmtId="0" fontId="22" fillId="0" borderId="2" xfId="1" applyFont="1" applyBorder="1" applyAlignment="1">
      <alignment horizontal="center" vertical="center"/>
    </xf>
    <xf numFmtId="0" fontId="22" fillId="0" borderId="6" xfId="1" applyFont="1" applyBorder="1" applyAlignment="1">
      <alignment vertical="center"/>
    </xf>
    <xf numFmtId="0" fontId="22" fillId="0" borderId="0" xfId="1" applyFont="1" applyAlignment="1">
      <alignment horizontal="center" vertical="center"/>
    </xf>
    <xf numFmtId="0" fontId="36" fillId="0" borderId="0" xfId="0" applyFont="1" applyAlignment="1">
      <alignment wrapText="1"/>
    </xf>
    <xf numFmtId="0" fontId="30" fillId="0" borderId="0" xfId="0" applyFont="1" applyAlignment="1">
      <alignment vertical="top" wrapText="1"/>
    </xf>
    <xf numFmtId="0" fontId="28" fillId="0" borderId="2" xfId="1" applyFont="1" applyBorder="1" applyAlignment="1">
      <alignment vertical="center" wrapText="1"/>
    </xf>
    <xf numFmtId="0" fontId="7" fillId="6" borderId="6" xfId="1" applyFont="1" applyFill="1" applyBorder="1" applyAlignment="1">
      <alignment vertical="center" wrapText="1"/>
    </xf>
    <xf numFmtId="0" fontId="7" fillId="6" borderId="6" xfId="1" applyFont="1" applyFill="1" applyBorder="1" applyAlignment="1">
      <alignment horizontal="center" vertical="center"/>
    </xf>
    <xf numFmtId="0" fontId="28" fillId="6" borderId="6" xfId="1" applyFont="1" applyFill="1" applyBorder="1" applyAlignment="1">
      <alignment vertical="center"/>
    </xf>
    <xf numFmtId="0" fontId="7" fillId="0" borderId="6" xfId="1" applyFont="1" applyBorder="1" applyAlignment="1">
      <alignment vertical="center" wrapText="1"/>
    </xf>
    <xf numFmtId="0" fontId="24" fillId="6" borderId="2" xfId="1" applyFont="1" applyFill="1" applyBorder="1" applyAlignment="1">
      <alignment horizontal="center" vertical="center"/>
    </xf>
    <xf numFmtId="0" fontId="22" fillId="0" borderId="2" xfId="1" applyFont="1" applyBorder="1" applyAlignment="1">
      <alignment horizontal="left" vertical="center" wrapText="1" indent="1"/>
    </xf>
    <xf numFmtId="0" fontId="0" fillId="0" borderId="0" xfId="1" applyFont="1" applyAlignment="1">
      <alignment horizontal="left" vertical="top"/>
    </xf>
    <xf numFmtId="0" fontId="0" fillId="0" borderId="0" xfId="0" applyAlignment="1">
      <alignment horizontal="left" vertical="top"/>
    </xf>
    <xf numFmtId="0" fontId="32" fillId="0" borderId="0" xfId="1" applyFont="1" applyAlignment="1">
      <alignment vertical="top" wrapText="1"/>
    </xf>
    <xf numFmtId="0" fontId="0" fillId="0" borderId="2" xfId="0" applyBorder="1" applyAlignment="1">
      <alignment horizontal="left" vertical="top" wrapText="1"/>
    </xf>
    <xf numFmtId="42" fontId="13" fillId="0" borderId="0" xfId="6" applyNumberFormat="1" applyAlignment="1">
      <alignment vertical="center"/>
    </xf>
    <xf numFmtId="0" fontId="5" fillId="11" borderId="0" xfId="1" applyFont="1" applyFill="1" applyAlignment="1">
      <alignment vertical="center"/>
    </xf>
    <xf numFmtId="0" fontId="0" fillId="0" borderId="0" xfId="0" applyAlignment="1">
      <alignment horizontal="left" vertical="top" wrapText="1"/>
    </xf>
    <xf numFmtId="0" fontId="28" fillId="0" borderId="0" xfId="1" applyFont="1" applyAlignment="1">
      <alignment vertical="center" wrapText="1"/>
    </xf>
    <xf numFmtId="0" fontId="37" fillId="0" borderId="2" xfId="0" applyFont="1" applyBorder="1" applyAlignment="1">
      <alignment wrapText="1"/>
    </xf>
    <xf numFmtId="0" fontId="38" fillId="0" borderId="0" xfId="0" applyFont="1"/>
    <xf numFmtId="0" fontId="34" fillId="6" borderId="2" xfId="1" applyFont="1" applyFill="1" applyBorder="1" applyAlignment="1">
      <alignmen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24" fillId="0" borderId="0" xfId="0" applyFont="1" applyAlignment="1">
      <alignment vertical="top"/>
    </xf>
    <xf numFmtId="0" fontId="24" fillId="0" borderId="0" xfId="0" applyFont="1" applyAlignment="1">
      <alignment horizontal="left" vertical="top"/>
    </xf>
    <xf numFmtId="0" fontId="34" fillId="0" borderId="0" xfId="1" applyFont="1" applyAlignment="1">
      <alignment horizontal="left" vertical="center"/>
    </xf>
    <xf numFmtId="3" fontId="0" fillId="0" borderId="0" xfId="0" applyNumberFormat="1" applyAlignment="1">
      <alignment horizontal="left" vertical="top"/>
    </xf>
    <xf numFmtId="0" fontId="39" fillId="0" borderId="0" xfId="6" applyFont="1" applyBorder="1" applyAlignment="1">
      <alignment vertical="top"/>
    </xf>
    <xf numFmtId="0" fontId="0" fillId="0" borderId="0" xfId="0" applyAlignment="1">
      <alignment vertical="center" wrapText="1"/>
    </xf>
    <xf numFmtId="0" fontId="0" fillId="0" borderId="0" xfId="0" applyAlignment="1">
      <alignment horizontal="center" vertical="center" wrapText="1"/>
    </xf>
    <xf numFmtId="6" fontId="0" fillId="0" borderId="0" xfId="0" applyNumberFormat="1" applyAlignment="1">
      <alignment horizontal="center" vertical="center" wrapText="1"/>
    </xf>
    <xf numFmtId="0" fontId="40" fillId="0" borderId="0" xfId="0" applyFont="1" applyAlignment="1">
      <alignment horizontal="center" vertical="center" wrapText="1"/>
    </xf>
    <xf numFmtId="0" fontId="24" fillId="0" borderId="0" xfId="0" applyFont="1" applyAlignment="1">
      <alignment horizontal="center" vertical="center" wrapText="1"/>
    </xf>
    <xf numFmtId="0" fontId="0" fillId="0" borderId="0" xfId="0" applyAlignment="1">
      <alignment horizontal="center" vertical="center"/>
    </xf>
    <xf numFmtId="0" fontId="28" fillId="0" borderId="0" xfId="0" applyFont="1" applyAlignment="1">
      <alignment horizontal="right" vertical="top"/>
    </xf>
    <xf numFmtId="0" fontId="0" fillId="0" borderId="0" xfId="0" applyAlignment="1">
      <alignment vertical="top" wrapText="1"/>
    </xf>
    <xf numFmtId="0" fontId="0" fillId="0" borderId="0" xfId="0" applyAlignment="1">
      <alignment vertical="center"/>
    </xf>
    <xf numFmtId="8" fontId="0" fillId="9" borderId="0" xfId="0" applyNumberFormat="1" applyFill="1"/>
    <xf numFmtId="0" fontId="0" fillId="9" borderId="0" xfId="0" applyFill="1"/>
    <xf numFmtId="0" fontId="24" fillId="0" borderId="0" xfId="0" applyFont="1" applyAlignment="1">
      <alignment wrapText="1"/>
    </xf>
    <xf numFmtId="0" fontId="24" fillId="9" borderId="0" xfId="0" applyFont="1" applyFill="1" applyAlignment="1">
      <alignment wrapText="1"/>
    </xf>
    <xf numFmtId="0" fontId="41" fillId="0" borderId="0" xfId="6" applyFont="1" applyAlignment="1">
      <alignment wrapText="1"/>
    </xf>
    <xf numFmtId="0" fontId="41" fillId="8" borderId="5" xfId="6" applyFont="1" applyFill="1" applyBorder="1" applyAlignment="1">
      <alignment horizontal="left" vertical="center" wrapText="1"/>
    </xf>
    <xf numFmtId="3" fontId="42" fillId="0" borderId="0" xfId="0" applyNumberFormat="1" applyFont="1"/>
    <xf numFmtId="6" fontId="43" fillId="0" borderId="0" xfId="0" applyNumberFormat="1" applyFont="1"/>
    <xf numFmtId="8" fontId="43" fillId="0" borderId="0" xfId="0" applyNumberFormat="1" applyFont="1"/>
    <xf numFmtId="0" fontId="43" fillId="0" borderId="0" xfId="0" applyFont="1"/>
    <xf numFmtId="10" fontId="43" fillId="0" borderId="0" xfId="0" applyNumberFormat="1" applyFont="1"/>
    <xf numFmtId="3" fontId="44" fillId="0" borderId="0" xfId="0" applyNumberFormat="1" applyFont="1"/>
    <xf numFmtId="165" fontId="0" fillId="0" borderId="0" xfId="0" applyNumberFormat="1"/>
    <xf numFmtId="166" fontId="0" fillId="0" borderId="0" xfId="0" applyNumberFormat="1"/>
    <xf numFmtId="6" fontId="0" fillId="0" borderId="0" xfId="0" applyNumberFormat="1" applyAlignment="1">
      <alignment horizontal="left" vertical="top"/>
    </xf>
    <xf numFmtId="3" fontId="45" fillId="0" borderId="0" xfId="0" applyNumberFormat="1" applyFont="1"/>
    <xf numFmtId="3" fontId="46" fillId="0" borderId="0" xfId="0" applyNumberFormat="1" applyFont="1"/>
    <xf numFmtId="0" fontId="0" fillId="3" borderId="0" xfId="0" applyFill="1"/>
    <xf numFmtId="0" fontId="47" fillId="3" borderId="0" xfId="0" applyFont="1" applyFill="1" applyAlignment="1">
      <alignment horizontal="left" vertical="top" wrapText="1" indent="1"/>
    </xf>
    <xf numFmtId="0" fontId="48" fillId="3" borderId="0" xfId="0" applyFont="1" applyFill="1" applyAlignment="1">
      <alignment horizontal="left" vertical="top" wrapText="1" indent="1"/>
    </xf>
    <xf numFmtId="0" fontId="49" fillId="0" borderId="0" xfId="0" applyFont="1"/>
    <xf numFmtId="0" fontId="51" fillId="0" borderId="0" xfId="0" applyFont="1"/>
  </cellXfs>
  <cellStyles count="7">
    <cellStyle name="Check Cell 2" xfId="5" xr:uid="{9210B432-4EBD-49E7-B761-30741AC04A76}"/>
    <cellStyle name="Currency 2" xfId="2" xr:uid="{26163D40-4A70-493E-B73D-BF9F0E568380}"/>
    <cellStyle name="Hyperlink" xfId="6" builtinId="8"/>
    <cellStyle name="Hyperlink 2" xfId="4" xr:uid="{1B777506-1D21-4D46-A2A6-9C5E2647031F}"/>
    <cellStyle name="Normal" xfId="0" builtinId="0"/>
    <cellStyle name="Normal 2" xfId="1" xr:uid="{44267245-CE53-46B1-8A8D-91E6E2A701F0}"/>
    <cellStyle name="Percent 2" xfId="3" xr:uid="{90551136-CDB8-43D3-9B1D-EC3419531D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common occupation types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Images!$S$4</c:f>
              <c:strCache>
                <c:ptCount val="1"/>
                <c:pt idx="0">
                  <c:v>Most numerous occupations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77-4D45-977F-E5EA665D86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77-4D45-977F-E5EA665D86A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977-4D45-977F-E5EA665D86A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977-4D45-977F-E5EA665D86A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977-4D45-977F-E5EA665D86A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Images!$R$5:$R$9</c:f>
              <c:strCache>
                <c:ptCount val="5"/>
                <c:pt idx="0">
                  <c:v>Retail</c:v>
                </c:pt>
                <c:pt idx="1">
                  <c:v>Educational services</c:v>
                </c:pt>
                <c:pt idx="2">
                  <c:v>Manufacturing</c:v>
                </c:pt>
                <c:pt idx="3">
                  <c:v>Health care/social assistance</c:v>
                </c:pt>
                <c:pt idx="4">
                  <c:v>Other</c:v>
                </c:pt>
              </c:strCache>
            </c:strRef>
          </c:cat>
          <c:val>
            <c:numRef>
              <c:f>Images!$S$5:$S$9</c:f>
              <c:numCache>
                <c:formatCode>General</c:formatCode>
                <c:ptCount val="5"/>
                <c:pt idx="0">
                  <c:v>22.4</c:v>
                </c:pt>
                <c:pt idx="1">
                  <c:v>11.7</c:v>
                </c:pt>
                <c:pt idx="2">
                  <c:v>11</c:v>
                </c:pt>
                <c:pt idx="3">
                  <c:v>10.8</c:v>
                </c:pt>
                <c:pt idx="4">
                  <c:v>44.1</c:v>
                </c:pt>
              </c:numCache>
            </c:numRef>
          </c:val>
          <c:extLst>
            <c:ext xmlns:c16="http://schemas.microsoft.com/office/drawing/2014/chart" uri="{C3380CC4-5D6E-409C-BE32-E72D297353CC}">
              <c16:uniqueId val="{00000000-BDA1-47F2-88DD-655272914D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common occupation types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Images!$S$12</c:f>
              <c:strCache>
                <c:ptCount val="1"/>
                <c:pt idx="0">
                  <c:v>Share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E3-4A4F-97CD-F173E81147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E3-4A4F-97CD-F173E81147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E3-4A4F-97CD-F173E811477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E3-4A4F-97CD-F173E811477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E3-4A4F-97CD-F173E81147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Images!$R$13:$R$17</c:f>
              <c:strCache>
                <c:ptCount val="5"/>
                <c:pt idx="0">
                  <c:v>Health care/social assistance</c:v>
                </c:pt>
                <c:pt idx="1">
                  <c:v>Retail</c:v>
                </c:pt>
                <c:pt idx="2">
                  <c:v>Educational services</c:v>
                </c:pt>
                <c:pt idx="3">
                  <c:v>Accomodation and food</c:v>
                </c:pt>
                <c:pt idx="4">
                  <c:v>Other</c:v>
                </c:pt>
              </c:strCache>
            </c:strRef>
          </c:cat>
          <c:val>
            <c:numRef>
              <c:f>Images!$S$13:$S$17</c:f>
              <c:numCache>
                <c:formatCode>General</c:formatCode>
                <c:ptCount val="5"/>
                <c:pt idx="0">
                  <c:v>16</c:v>
                </c:pt>
                <c:pt idx="1">
                  <c:v>12.4</c:v>
                </c:pt>
                <c:pt idx="2">
                  <c:v>10.3</c:v>
                </c:pt>
                <c:pt idx="3">
                  <c:v>9.8000000000000007</c:v>
                </c:pt>
                <c:pt idx="4">
                  <c:v>51.5</c:v>
                </c:pt>
              </c:numCache>
            </c:numRef>
          </c:val>
          <c:extLst>
            <c:ext xmlns:c16="http://schemas.microsoft.com/office/drawing/2014/chart" uri="{C3380CC4-5D6E-409C-BE32-E72D297353CC}">
              <c16:uniqueId val="{00000000-9338-486A-B39F-F33AD31EBC5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15179352580927"/>
          <c:y val="5.0925925925925923E-2"/>
          <c:w val="0.8278705161854768"/>
          <c:h val="0.65838254593175849"/>
        </c:manualLayout>
      </c:layout>
      <c:barChart>
        <c:barDir val="col"/>
        <c:grouping val="clustered"/>
        <c:varyColors val="0"/>
        <c:ser>
          <c:idx val="0"/>
          <c:order val="0"/>
          <c:tx>
            <c:strRef>
              <c:f>[1]advisorsmith_cost_of_living_ind!$B$42</c:f>
              <c:strCache>
                <c:ptCount val="1"/>
                <c:pt idx="0">
                  <c:v>COL difference</c:v>
                </c:pt>
              </c:strCache>
            </c:strRef>
          </c:tx>
          <c:spPr>
            <a:solidFill>
              <a:schemeClr val="accent1"/>
            </a:solidFill>
            <a:ln>
              <a:noFill/>
            </a:ln>
            <a:effectLst/>
          </c:spPr>
          <c:invertIfNegative val="0"/>
          <c:dLbls>
            <c:dLbl>
              <c:idx val="4"/>
              <c:layout>
                <c:manualLayout>
                  <c:x val="4.1666666666666567E-2"/>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13-48D2-9248-B14C71DC66C9}"/>
                </c:ext>
              </c:extLst>
            </c:dLbl>
            <c:dLbl>
              <c:idx val="7"/>
              <c:layout>
                <c:manualLayout>
                  <c:x val="2.777777777777676E-3"/>
                  <c:y val="0.2037037037037037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13-48D2-9248-B14C71DC66C9}"/>
                </c:ext>
              </c:extLst>
            </c:dLbl>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[1]advisorsmith_cost_of_living_ind!$A$43:$A$53</c:f>
              <c:strCache>
                <c:ptCount val="11"/>
                <c:pt idx="0">
                  <c:v>Winchester, VA</c:v>
                </c:pt>
                <c:pt idx="1">
                  <c:v>Baltimore, MD</c:v>
                </c:pt>
                <c:pt idx="2">
                  <c:v>Philadelphia, PA</c:v>
                </c:pt>
                <c:pt idx="3">
                  <c:v>Washington, DC</c:v>
                </c:pt>
                <c:pt idx="4">
                  <c:v>Washington, DC</c:v>
                </c:pt>
                <c:pt idx="5">
                  <c:v>Lynchburg, VA</c:v>
                </c:pt>
                <c:pt idx="6">
                  <c:v>Raleigh, NC</c:v>
                </c:pt>
                <c:pt idx="7">
                  <c:v>Richmond, VA</c:v>
                </c:pt>
                <c:pt idx="8">
                  <c:v>Durham, NC</c:v>
                </c:pt>
                <c:pt idx="9">
                  <c:v>Greensboro, NC</c:v>
                </c:pt>
                <c:pt idx="10">
                  <c:v>Durham, NC</c:v>
                </c:pt>
              </c:strCache>
            </c:strRef>
          </c:cat>
          <c:val>
            <c:numRef>
              <c:f>[1]advisorsmith_cost_of_living_ind!$B$43:$B$53</c:f>
              <c:numCache>
                <c:formatCode>General</c:formatCode>
                <c:ptCount val="11"/>
                <c:pt idx="0">
                  <c:v>0</c:v>
                </c:pt>
                <c:pt idx="1">
                  <c:v>9.7999999999999972</c:v>
                </c:pt>
                <c:pt idx="2">
                  <c:v>6.2000000000000028</c:v>
                </c:pt>
                <c:pt idx="3">
                  <c:v>22.899999999999991</c:v>
                </c:pt>
                <c:pt idx="4">
                  <c:v>22.9</c:v>
                </c:pt>
                <c:pt idx="5">
                  <c:v>0</c:v>
                </c:pt>
                <c:pt idx="6">
                  <c:v>6.1000000000000085</c:v>
                </c:pt>
                <c:pt idx="7">
                  <c:v>5.6000000000000085</c:v>
                </c:pt>
                <c:pt idx="8">
                  <c:v>6.2000000000000028</c:v>
                </c:pt>
                <c:pt idx="9">
                  <c:v>-2.5999999999999943</c:v>
                </c:pt>
                <c:pt idx="10">
                  <c:v>6.2</c:v>
                </c:pt>
              </c:numCache>
            </c:numRef>
          </c:val>
          <c:extLst>
            <c:ext xmlns:c16="http://schemas.microsoft.com/office/drawing/2014/chart" uri="{C3380CC4-5D6E-409C-BE32-E72D297353CC}">
              <c16:uniqueId val="{00000002-E713-48D2-9248-B14C71DC66C9}"/>
            </c:ext>
          </c:extLst>
        </c:ser>
        <c:dLbls>
          <c:dLblPos val="outEnd"/>
          <c:showLegendKey val="0"/>
          <c:showVal val="1"/>
          <c:showCatName val="0"/>
          <c:showSerName val="0"/>
          <c:showPercent val="0"/>
          <c:showBubbleSize val="0"/>
        </c:dLbls>
        <c:gapWidth val="444"/>
        <c:overlap val="-90"/>
        <c:axId val="815900304"/>
        <c:axId val="815901552"/>
      </c:barChart>
      <c:catAx>
        <c:axId val="815900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r>
                  <a:rPr lang="en-US"/>
                  <a:t>Sites and Target Cities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tx1">
                    <a:lumMod val="65000"/>
                    <a:lumOff val="35000"/>
                  </a:schemeClr>
                </a:solidFill>
                <a:latin typeface="+mn-lt"/>
                <a:ea typeface="+mn-ea"/>
                <a:cs typeface="+mn-cs"/>
              </a:defRPr>
            </a:pPr>
            <a:endParaRPr lang="en-US"/>
          </a:p>
        </c:txPr>
        <c:crossAx val="815901552"/>
        <c:crosses val="autoZero"/>
        <c:auto val="1"/>
        <c:lblAlgn val="ctr"/>
        <c:lblOffset val="100"/>
        <c:noMultiLvlLbl val="0"/>
      </c:catAx>
      <c:valAx>
        <c:axId val="815901552"/>
        <c:scaling>
          <c:orientation val="minMax"/>
        </c:scaling>
        <c:delete val="1"/>
        <c:axPos val="l"/>
        <c:title>
          <c:tx>
            <c:rich>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r>
                  <a:rPr lang="en-US"/>
                  <a:t>Percent Difference in </a:t>
                </a:r>
              </a:p>
              <a:p>
                <a:pPr>
                  <a:defRPr/>
                </a:pPr>
                <a:r>
                  <a:rPr lang="en-US"/>
                  <a:t>Cost of Living Index</a:t>
                </a:r>
              </a:p>
            </c:rich>
          </c:tx>
          <c:overlay val="0"/>
          <c:spPr>
            <a:noFill/>
            <a:ln>
              <a:noFill/>
            </a:ln>
            <a:effectLst/>
          </c:spPr>
          <c:txPr>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1590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gif"/><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8</xdr:col>
      <xdr:colOff>80010</xdr:colOff>
      <xdr:row>64</xdr:row>
      <xdr:rowOff>9525</xdr:rowOff>
    </xdr:to>
    <xdr:pic>
      <xdr:nvPicPr>
        <xdr:cNvPr id="3" name="Picture 2" descr="average electric power service interruptions per customer by utility type, as explained in the article text">
          <a:extLst>
            <a:ext uri="{FF2B5EF4-FFF2-40B4-BE49-F238E27FC236}">
              <a16:creationId xmlns:a16="http://schemas.microsoft.com/office/drawing/2014/main" id="{AEE15FEA-0F73-AC31-B947-1CDB81B02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1160" y="9029700"/>
          <a:ext cx="54292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228600</xdr:colOff>
      <xdr:row>9</xdr:row>
      <xdr:rowOff>152400</xdr:rowOff>
    </xdr:to>
    <xdr:pic>
      <xdr:nvPicPr>
        <xdr:cNvPr id="2" name="Picture 1" descr="Graph of CUSR0000SAF114">
          <a:extLst>
            <a:ext uri="{FF2B5EF4-FFF2-40B4-BE49-F238E27FC236}">
              <a16:creationId xmlns:a16="http://schemas.microsoft.com/office/drawing/2014/main" id="{C7B7CF54-2ED3-BA83-A5F9-0824D1BF14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4150"/>
          <a:ext cx="57150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327660</xdr:colOff>
      <xdr:row>0</xdr:row>
      <xdr:rowOff>114300</xdr:rowOff>
    </xdr:from>
    <xdr:to>
      <xdr:col>27</xdr:col>
      <xdr:colOff>22860</xdr:colOff>
      <xdr:row>7</xdr:row>
      <xdr:rowOff>114300</xdr:rowOff>
    </xdr:to>
    <xdr:graphicFrame macro="">
      <xdr:nvGraphicFramePr>
        <xdr:cNvPr id="4" name="Chart 3">
          <a:extLst>
            <a:ext uri="{FF2B5EF4-FFF2-40B4-BE49-F238E27FC236}">
              <a16:creationId xmlns:a16="http://schemas.microsoft.com/office/drawing/2014/main" id="{3A14A281-C4A5-5CE7-5DE3-23794CFEC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533400</xdr:colOff>
      <xdr:row>8</xdr:row>
      <xdr:rowOff>45720</xdr:rowOff>
    </xdr:from>
    <xdr:to>
      <xdr:col>18</xdr:col>
      <xdr:colOff>228600</xdr:colOff>
      <xdr:row>23</xdr:row>
      <xdr:rowOff>45720</xdr:rowOff>
    </xdr:to>
    <xdr:graphicFrame macro="">
      <xdr:nvGraphicFramePr>
        <xdr:cNvPr id="6" name="Chart 5">
          <a:extLst>
            <a:ext uri="{FF2B5EF4-FFF2-40B4-BE49-F238E27FC236}">
              <a16:creationId xmlns:a16="http://schemas.microsoft.com/office/drawing/2014/main" id="{889CC938-7330-5074-5B52-C2B82227D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31750</xdr:colOff>
      <xdr:row>7</xdr:row>
      <xdr:rowOff>171450</xdr:rowOff>
    </xdr:from>
    <xdr:to>
      <xdr:col>9</xdr:col>
      <xdr:colOff>336550</xdr:colOff>
      <xdr:row>22</xdr:row>
      <xdr:rowOff>152400</xdr:rowOff>
    </xdr:to>
    <xdr:graphicFrame macro="">
      <xdr:nvGraphicFramePr>
        <xdr:cNvPr id="5" name="Chart 4">
          <a:extLst>
            <a:ext uri="{FF2B5EF4-FFF2-40B4-BE49-F238E27FC236}">
              <a16:creationId xmlns:a16="http://schemas.microsoft.com/office/drawing/2014/main" id="{6827A3CD-1B98-4998-97A7-9D0AE0541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mpbellM08\OneDrive%20-%20Fulton%20County%20Schools\Documents\Milton%20Admin%20and%20Dept\Life\ELS\advisorsmith_cost_of_living_index.csv" TargetMode="External"/><Relationship Id="rId1" Type="http://schemas.openxmlformats.org/officeDocument/2006/relationships/externalLinkPath" Target="/Users/CampbellM08/OneDrive%20-%20Fulton%20County%20Schools/Documents/Milton%20Admin%20and%20Dept/Life/ELS/advisorsmith_cost_of_living_index.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visorsmith_cost_of_living_ind"/>
    </sheetNames>
    <sheetDataSet>
      <sheetData sheetId="0">
        <row r="42">
          <cell r="B42" t="str">
            <v>COL difference</v>
          </cell>
        </row>
        <row r="43">
          <cell r="A43" t="str">
            <v>Winchester, VA</v>
          </cell>
          <cell r="B43">
            <v>0</v>
          </cell>
        </row>
        <row r="44">
          <cell r="A44" t="str">
            <v>Baltimore, MD</v>
          </cell>
          <cell r="B44">
            <v>9.7999999999999972</v>
          </cell>
        </row>
        <row r="45">
          <cell r="A45" t="str">
            <v>Philadelphia, PA</v>
          </cell>
          <cell r="B45">
            <v>6.2000000000000028</v>
          </cell>
        </row>
        <row r="46">
          <cell r="A46" t="str">
            <v>Washington, DC</v>
          </cell>
          <cell r="B46">
            <v>22.899999999999991</v>
          </cell>
        </row>
        <row r="47">
          <cell r="A47" t="str">
            <v>Washington, DC</v>
          </cell>
          <cell r="B47">
            <v>22.9</v>
          </cell>
        </row>
        <row r="48">
          <cell r="A48" t="str">
            <v>Lynchburg, VA</v>
          </cell>
          <cell r="B48">
            <v>0</v>
          </cell>
        </row>
        <row r="49">
          <cell r="A49" t="str">
            <v>Raleigh, NC</v>
          </cell>
          <cell r="B49">
            <v>6.1000000000000085</v>
          </cell>
        </row>
        <row r="50">
          <cell r="A50" t="str">
            <v>Richmond, VA</v>
          </cell>
          <cell r="B50">
            <v>5.6000000000000085</v>
          </cell>
        </row>
        <row r="51">
          <cell r="A51" t="str">
            <v>Durham, NC</v>
          </cell>
          <cell r="B51">
            <v>6.2000000000000028</v>
          </cell>
        </row>
        <row r="52">
          <cell r="A52" t="str">
            <v>Greensboro, NC</v>
          </cell>
          <cell r="B52">
            <v>-2.5999999999999943</v>
          </cell>
        </row>
        <row r="53">
          <cell r="A53" t="str">
            <v>Durham, NC</v>
          </cell>
          <cell r="B53">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halifaxnc.com/DocumentCenter/View/3132/FY22-23_FeeSchedule_proposed," TargetMode="External"/><Relationship Id="rId2" Type="http://schemas.openxmlformats.org/officeDocument/2006/relationships/hyperlink" Target="https://www.vedp.org/incentive/new-company-incentive-program" TargetMode="External"/><Relationship Id="rId1" Type="http://schemas.openxmlformats.org/officeDocument/2006/relationships/hyperlink" Target="https://www.vedp.org/incentive/major-business-facility-job-tax-credit,%20Companies%20may%20not%20claim%20the%20same%20jobs%20for%20the%20Major%20Business%20Facility%20Job%20Tax%20Credit,%20the%20Enterprise%20Zone%20Job%20Creation%20Grant,%20the%20Port%20of%20Virginia%20Economic%20and%20Infrastructure%20Development%20Grant,%20the%20International%20Trade%20Facility%20Tax%20Credit,%20or%20the%20Green%20Job%20Creation%20Tax%20Credit." TargetMode="External"/><Relationship Id="rId5" Type="http://schemas.openxmlformats.org/officeDocument/2006/relationships/printerSettings" Target="../printerSettings/printerSettings1.bin"/><Relationship Id="rId4" Type="http://schemas.openxmlformats.org/officeDocument/2006/relationships/hyperlink" Target="https://www.vedp.org/incentive/virginia-jobs-investment-program-vjip,%20has%20over%20250%20employees%20company-wid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winchesterva.gov/treasurer/personal-property" TargetMode="External"/><Relationship Id="rId2" Type="http://schemas.openxmlformats.org/officeDocument/2006/relationships/hyperlink" Target="https://www.winchesterva.gov/treasurer/real-estate" TargetMode="External"/><Relationship Id="rId1" Type="http://schemas.openxmlformats.org/officeDocument/2006/relationships/hyperlink" Target="https://frdnet.fcva.us/applications/COR_ViewPropertyCards/View_Detail.asp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cms3.revize.com/revize/southbostonvanew/departments/finance/2022/2022-2023%20FEE%20%20TAX%20LISTING.pdf"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dp.org/incentive/virginia-jobs-investment-program-vjip,%20has%20over%20250%20employees%20company-wide" TargetMode="External"/><Relationship Id="rId2" Type="http://schemas.openxmlformats.org/officeDocument/2006/relationships/hyperlink" Target="https://www.vedp.org/incentive/new-company-incentive-program" TargetMode="External"/><Relationship Id="rId1" Type="http://schemas.openxmlformats.org/officeDocument/2006/relationships/hyperlink" Target="https://www.vedp.org/incentive/major-business-facility-job-tax-credit,%20Companies%20may%20not%20claim%20the%20same%20jobs%20for%20the%20Major%20Business%20Facility%20Job%20Tax%20Credit,%20the%20Enterprise%20Zone%20Job%20Creation%20Grant,%20the%20Port%20of%20Virginia%20Economic%20and%20Infrastructure%20Development%20Grant,%20the%20International%20Trade%20Facility%20Tax%20Credit,%20or%20the%20Green%20Job%20Creation%20Tax%20Credit.%20The%20company%20must%20create%20net,%20new%20full-time%20jobs%20in%20excess%20of%2050%20when%20not%20in%20a%20distressed%20are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bls.gov/oes/current/oes519061.htm" TargetMode="External"/><Relationship Id="rId2" Type="http://schemas.openxmlformats.org/officeDocument/2006/relationships/hyperlink" Target="https://www.bls.gov/oes/current/oes519023.htm" TargetMode="External"/><Relationship Id="rId1" Type="http://schemas.openxmlformats.org/officeDocument/2006/relationships/hyperlink" Target="https://www.bls.gov/oes/current/oes519111.htm" TargetMode="External"/><Relationship Id="rId5" Type="http://schemas.openxmlformats.org/officeDocument/2006/relationships/printerSettings" Target="../printerSettings/printerSettings3.bin"/><Relationship Id="rId4" Type="http://schemas.openxmlformats.org/officeDocument/2006/relationships/hyperlink" Target="https://www.bls.gov/regions/mid-atlantic/va_winchester_msa.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oopnet.com/Listing/370-Mount-Cross-Rd-Danville-VA/27629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FEEF-3E39-4F65-A35D-65949F6B8982}">
  <sheetPr>
    <pageSetUpPr fitToPage="1"/>
  </sheetPr>
  <dimension ref="B2:I102"/>
  <sheetViews>
    <sheetView showGridLines="0" topLeftCell="B1" zoomScale="86" zoomScaleNormal="86" zoomScaleSheetLayoutView="70" workbookViewId="0">
      <selection activeCell="D54" sqref="D54"/>
    </sheetView>
  </sheetViews>
  <sheetFormatPr defaultColWidth="12" defaultRowHeight="13.8" x14ac:dyDescent="0.3"/>
  <cols>
    <col min="1" max="1" width="12" style="28"/>
    <col min="2" max="2" width="44.5546875" style="28" customWidth="1"/>
    <col min="3" max="3" width="21.44140625" style="5" customWidth="1"/>
    <col min="4" max="4" width="78.5546875" style="6" customWidth="1"/>
    <col min="5" max="5" width="17.21875" style="105" customWidth="1"/>
    <col min="6" max="6" width="25.88671875" style="28" customWidth="1"/>
    <col min="7" max="7" width="5" style="28" customWidth="1"/>
    <col min="8" max="16384" width="12" style="28"/>
  </cols>
  <sheetData>
    <row r="2" spans="2:9" ht="16.2" customHeight="1" x14ac:dyDescent="0.3">
      <c r="B2" s="79"/>
      <c r="C2" s="80"/>
      <c r="D2" s="79"/>
      <c r="E2" s="92"/>
      <c r="F2" s="77"/>
    </row>
    <row r="3" spans="2:9" ht="43.2" x14ac:dyDescent="0.3">
      <c r="B3" s="174" t="s">
        <v>434</v>
      </c>
      <c r="C3" s="80" t="s">
        <v>309</v>
      </c>
      <c r="D3" s="79" t="s">
        <v>330</v>
      </c>
      <c r="E3" s="93"/>
      <c r="F3" s="77"/>
    </row>
    <row r="4" spans="2:9" ht="16.2" customHeight="1" x14ac:dyDescent="0.3">
      <c r="B4" s="81" t="s">
        <v>0</v>
      </c>
      <c r="C4" s="82" t="s">
        <v>1</v>
      </c>
      <c r="D4" s="81" t="s">
        <v>2</v>
      </c>
      <c r="E4" s="94" t="s">
        <v>3</v>
      </c>
      <c r="F4" s="28" t="s">
        <v>324</v>
      </c>
      <c r="H4" s="28" t="s">
        <v>73</v>
      </c>
    </row>
    <row r="5" spans="2:9" s="9" customFormat="1" ht="14.4" x14ac:dyDescent="0.3">
      <c r="B5" s="78" t="s">
        <v>21</v>
      </c>
      <c r="C5" s="83"/>
      <c r="D5" s="84"/>
      <c r="E5" s="95"/>
    </row>
    <row r="6" spans="2:9" ht="43.2" x14ac:dyDescent="0.3">
      <c r="B6" s="85" t="s">
        <v>19</v>
      </c>
      <c r="C6" s="118" t="s">
        <v>331</v>
      </c>
      <c r="D6" s="86" t="s">
        <v>323</v>
      </c>
      <c r="E6" s="96"/>
      <c r="F6" s="68"/>
      <c r="H6" s="77" t="s">
        <v>74</v>
      </c>
      <c r="I6" s="68"/>
    </row>
    <row r="7" spans="2:9" ht="57.6" x14ac:dyDescent="0.3">
      <c r="B7" s="85" t="s">
        <v>20</v>
      </c>
      <c r="C7" s="87" t="s">
        <v>331</v>
      </c>
      <c r="D7" s="117" t="s">
        <v>320</v>
      </c>
      <c r="E7" s="97">
        <v>480000</v>
      </c>
      <c r="F7" s="71" t="s">
        <v>325</v>
      </c>
      <c r="H7" s="68" t="s">
        <v>326</v>
      </c>
      <c r="I7" s="68"/>
    </row>
    <row r="8" spans="2:9" ht="72" x14ac:dyDescent="0.3">
      <c r="B8" s="85" t="s">
        <v>16</v>
      </c>
      <c r="C8" s="87" t="s">
        <v>331</v>
      </c>
      <c r="D8" s="134" t="s">
        <v>328</v>
      </c>
      <c r="E8" s="97"/>
      <c r="F8" s="79" t="s">
        <v>329</v>
      </c>
      <c r="G8" s="68"/>
      <c r="H8" s="68" t="s">
        <v>327</v>
      </c>
      <c r="I8" s="68"/>
    </row>
    <row r="9" spans="2:9" ht="14.4" x14ac:dyDescent="0.3">
      <c r="B9" s="85" t="s">
        <v>17</v>
      </c>
      <c r="C9" s="87"/>
      <c r="D9" s="135"/>
      <c r="E9" s="97"/>
      <c r="F9" s="77"/>
      <c r="G9" s="68"/>
      <c r="H9" s="68"/>
      <c r="I9" s="68"/>
    </row>
    <row r="10" spans="2:9" ht="14.4" x14ac:dyDescent="0.3">
      <c r="B10" s="85" t="s">
        <v>18</v>
      </c>
      <c r="C10" s="87"/>
      <c r="D10" s="89"/>
      <c r="E10" s="97"/>
      <c r="F10" s="77"/>
      <c r="G10" s="68"/>
      <c r="H10" s="68"/>
      <c r="I10" s="68"/>
    </row>
    <row r="11" spans="2:9" s="32" customFormat="1" ht="14.4" x14ac:dyDescent="0.3">
      <c r="B11" s="169" t="s">
        <v>5</v>
      </c>
      <c r="C11" s="90"/>
      <c r="D11" s="91"/>
      <c r="E11" s="98">
        <f>SUM(E6:E10)</f>
        <v>480000</v>
      </c>
      <c r="F11" s="77"/>
      <c r="G11" s="70"/>
      <c r="H11" s="70"/>
      <c r="I11" s="70"/>
    </row>
    <row r="12" spans="2:9" ht="43.2" x14ac:dyDescent="0.3">
      <c r="B12" s="85" t="s">
        <v>19</v>
      </c>
      <c r="C12" s="87" t="s">
        <v>331</v>
      </c>
      <c r="D12" s="137" t="s">
        <v>151</v>
      </c>
      <c r="E12" s="97">
        <f>(0.02*15200000)</f>
        <v>304000</v>
      </c>
      <c r="F12" s="79" t="s">
        <v>340</v>
      </c>
      <c r="G12" s="70"/>
      <c r="H12" s="68" t="s">
        <v>341</v>
      </c>
      <c r="I12" s="32"/>
    </row>
    <row r="13" spans="2:9" ht="70.2" customHeight="1" x14ac:dyDescent="0.3">
      <c r="B13" s="85" t="s">
        <v>20</v>
      </c>
      <c r="C13" s="87" t="s">
        <v>331</v>
      </c>
      <c r="D13" s="138" t="s">
        <v>376</v>
      </c>
      <c r="E13" s="97">
        <f>50400 + (0.8*75600)+(0.6*81900)+(0.4*88200)+(0.2*88200)</f>
        <v>212940</v>
      </c>
      <c r="F13" s="161" t="s">
        <v>377</v>
      </c>
      <c r="G13" s="68"/>
      <c r="H13" s="68" t="s">
        <v>374</v>
      </c>
      <c r="I13" s="68"/>
    </row>
    <row r="14" spans="2:9" ht="43.2" x14ac:dyDescent="0.3">
      <c r="B14" s="158" t="s">
        <v>16</v>
      </c>
      <c r="C14" s="147" t="s">
        <v>366</v>
      </c>
      <c r="D14" s="162" t="s">
        <v>378</v>
      </c>
      <c r="E14" s="103"/>
      <c r="F14" s="68"/>
      <c r="G14" s="68"/>
      <c r="H14" s="139" t="s">
        <v>375</v>
      </c>
      <c r="I14" s="68"/>
    </row>
    <row r="15" spans="2:9" ht="14.4" x14ac:dyDescent="0.3">
      <c r="B15" s="85" t="s">
        <v>17</v>
      </c>
      <c r="C15" s="87"/>
      <c r="D15" s="89"/>
      <c r="E15" s="97"/>
      <c r="F15" s="77"/>
      <c r="G15" s="68"/>
      <c r="H15" s="68"/>
      <c r="I15" s="68"/>
    </row>
    <row r="16" spans="2:9" ht="14.4" x14ac:dyDescent="0.3">
      <c r="B16" s="85" t="s">
        <v>18</v>
      </c>
      <c r="C16" s="87"/>
      <c r="D16" s="89"/>
      <c r="E16" s="97"/>
      <c r="F16" s="77"/>
      <c r="G16" s="68"/>
      <c r="H16" s="68"/>
      <c r="I16" s="68"/>
    </row>
    <row r="17" spans="2:9" s="32" customFormat="1" ht="14.4" x14ac:dyDescent="0.3">
      <c r="B17" s="169" t="s">
        <v>25</v>
      </c>
      <c r="C17" s="90"/>
      <c r="D17" s="91"/>
      <c r="E17" s="98">
        <f>SUM(E12:E16)</f>
        <v>516940</v>
      </c>
      <c r="F17" s="77"/>
      <c r="G17" s="70"/>
      <c r="H17" s="70"/>
      <c r="I17" s="70"/>
    </row>
    <row r="18" spans="2:9" s="32" customFormat="1" ht="43.2" x14ac:dyDescent="0.3">
      <c r="B18" s="85" t="s">
        <v>19</v>
      </c>
      <c r="C18" s="87" t="s">
        <v>354</v>
      </c>
      <c r="D18" s="88" t="s">
        <v>321</v>
      </c>
      <c r="E18" s="97">
        <v>500000</v>
      </c>
      <c r="F18" s="77"/>
      <c r="G18" s="70"/>
      <c r="H18" s="68" t="s">
        <v>344</v>
      </c>
      <c r="I18" s="70"/>
    </row>
    <row r="19" spans="2:9" ht="14.4" x14ac:dyDescent="0.3">
      <c r="B19" s="85" t="s">
        <v>20</v>
      </c>
      <c r="C19" s="87"/>
      <c r="D19" s="16"/>
      <c r="E19" s="136"/>
    </row>
    <row r="20" spans="2:9" ht="14.4" x14ac:dyDescent="0.3">
      <c r="B20" s="85" t="s">
        <v>16</v>
      </c>
      <c r="C20" s="87"/>
      <c r="D20" s="89"/>
      <c r="E20" s="97"/>
      <c r="F20" s="77"/>
      <c r="G20" s="68"/>
      <c r="H20" s="68"/>
      <c r="I20" s="68"/>
    </row>
    <row r="21" spans="2:9" ht="14.4" x14ac:dyDescent="0.3">
      <c r="B21" s="85" t="s">
        <v>17</v>
      </c>
      <c r="C21" s="87"/>
      <c r="D21" s="89"/>
      <c r="E21" s="97"/>
      <c r="F21" s="77"/>
      <c r="G21" s="68"/>
      <c r="H21" s="68"/>
      <c r="I21" s="68"/>
    </row>
    <row r="22" spans="2:9" ht="14.4" x14ac:dyDescent="0.3">
      <c r="B22" s="85" t="s">
        <v>18</v>
      </c>
      <c r="C22" s="87"/>
      <c r="D22" s="89"/>
      <c r="E22" s="97"/>
      <c r="F22" s="77"/>
      <c r="G22" s="68"/>
      <c r="H22" s="68"/>
      <c r="I22" s="68"/>
    </row>
    <row r="23" spans="2:9" s="32" customFormat="1" ht="14.4" x14ac:dyDescent="0.3">
      <c r="B23" s="169" t="s">
        <v>24</v>
      </c>
      <c r="C23" s="90"/>
      <c r="D23" s="91"/>
      <c r="E23" s="98">
        <f>SUM(E18:E22)</f>
        <v>500000</v>
      </c>
      <c r="F23" s="77"/>
      <c r="G23" s="70"/>
      <c r="H23" s="70"/>
      <c r="I23" s="70"/>
    </row>
    <row r="24" spans="2:9" s="32" customFormat="1" ht="14.4" x14ac:dyDescent="0.3">
      <c r="B24" s="85" t="s">
        <v>31</v>
      </c>
      <c r="C24" s="87"/>
      <c r="D24" s="32" t="s">
        <v>345</v>
      </c>
    </row>
    <row r="25" spans="2:9" s="32" customFormat="1" ht="14.4" x14ac:dyDescent="0.3">
      <c r="B25" s="85" t="s">
        <v>27</v>
      </c>
      <c r="C25" s="87"/>
      <c r="D25" s="106"/>
      <c r="E25" s="97"/>
      <c r="F25" s="77"/>
      <c r="G25" s="70"/>
      <c r="H25" s="70"/>
      <c r="I25" s="70"/>
    </row>
    <row r="26" spans="2:9" s="32" customFormat="1" ht="14.4" x14ac:dyDescent="0.3">
      <c r="B26" s="85" t="s">
        <v>28</v>
      </c>
      <c r="C26" s="87"/>
      <c r="D26" s="89"/>
      <c r="E26" s="97"/>
      <c r="F26" s="77"/>
      <c r="G26" s="70"/>
      <c r="H26" s="70"/>
      <c r="I26" s="70"/>
    </row>
    <row r="27" spans="2:9" s="32" customFormat="1" ht="14.4" x14ac:dyDescent="0.3">
      <c r="B27" s="85" t="s">
        <v>29</v>
      </c>
      <c r="C27" s="87"/>
      <c r="D27" s="89"/>
      <c r="E27" s="97"/>
      <c r="F27" s="77"/>
      <c r="G27" s="70"/>
      <c r="H27" s="70"/>
      <c r="I27" s="70"/>
    </row>
    <row r="28" spans="2:9" s="32" customFormat="1" ht="14.4" x14ac:dyDescent="0.3">
      <c r="B28" s="85" t="s">
        <v>30</v>
      </c>
      <c r="C28" s="87"/>
      <c r="D28" s="89"/>
      <c r="E28" s="97"/>
      <c r="F28" s="77"/>
      <c r="G28" s="70"/>
      <c r="H28" s="70"/>
      <c r="I28" s="70"/>
    </row>
    <row r="29" spans="2:9" s="32" customFormat="1" ht="14.4" x14ac:dyDescent="0.3">
      <c r="B29" s="17" t="s">
        <v>26</v>
      </c>
      <c r="C29" s="18"/>
      <c r="D29" s="74"/>
      <c r="E29" s="102">
        <f>SUM(E25:E28)</f>
        <v>0</v>
      </c>
      <c r="F29" s="70"/>
      <c r="G29" s="70"/>
      <c r="H29" s="70"/>
      <c r="I29" s="70"/>
    </row>
    <row r="30" spans="2:9" ht="14.4" x14ac:dyDescent="0.3">
      <c r="B30" s="1" t="s">
        <v>7</v>
      </c>
      <c r="C30" s="7" t="s">
        <v>1</v>
      </c>
      <c r="D30" s="75" t="s">
        <v>2</v>
      </c>
      <c r="E30" s="100" t="s">
        <v>4</v>
      </c>
      <c r="F30" s="68"/>
      <c r="G30" s="68"/>
      <c r="H30" s="68"/>
      <c r="I30" s="68"/>
    </row>
    <row r="31" spans="2:9" s="9" customFormat="1" ht="14.4" x14ac:dyDescent="0.3">
      <c r="B31" s="22" t="s">
        <v>6</v>
      </c>
      <c r="C31" s="23"/>
      <c r="D31" s="76"/>
      <c r="E31" s="101"/>
      <c r="F31" s="72"/>
      <c r="G31" s="72"/>
      <c r="H31" s="72"/>
      <c r="I31" s="72"/>
    </row>
    <row r="32" spans="2:9" ht="72" x14ac:dyDescent="0.3">
      <c r="B32" s="14" t="s">
        <v>19</v>
      </c>
      <c r="C32" s="147" t="s">
        <v>352</v>
      </c>
      <c r="D32" s="151" t="s">
        <v>346</v>
      </c>
      <c r="E32" s="103">
        <f>((1000*60)/2)+(5*1000)+(5*1000)</f>
        <v>40000</v>
      </c>
      <c r="F32" s="71" t="s">
        <v>348</v>
      </c>
      <c r="G32" s="70"/>
      <c r="H32" s="139" t="s">
        <v>347</v>
      </c>
      <c r="I32" s="70"/>
    </row>
    <row r="33" spans="2:9" ht="43.2" x14ac:dyDescent="0.3">
      <c r="B33" s="14" t="s">
        <v>20</v>
      </c>
      <c r="C33" s="147" t="s">
        <v>352</v>
      </c>
      <c r="D33" s="69" t="s">
        <v>353</v>
      </c>
      <c r="E33" s="103">
        <v>205426</v>
      </c>
      <c r="F33" s="68"/>
      <c r="G33" s="68"/>
      <c r="H33" s="139" t="s">
        <v>351</v>
      </c>
      <c r="I33" s="68"/>
    </row>
    <row r="34" spans="2:9" ht="72" x14ac:dyDescent="0.3">
      <c r="B34" s="14" t="s">
        <v>16</v>
      </c>
      <c r="C34" s="147" t="s">
        <v>352</v>
      </c>
      <c r="D34" s="165" t="s">
        <v>370</v>
      </c>
      <c r="E34" s="103">
        <f>(0.15*20000)*5</f>
        <v>15000</v>
      </c>
      <c r="F34" s="71" t="s">
        <v>371</v>
      </c>
      <c r="G34" s="68"/>
      <c r="H34" s="68" t="s">
        <v>403</v>
      </c>
      <c r="I34" s="68"/>
    </row>
    <row r="35" spans="2:9" ht="14.4" x14ac:dyDescent="0.3">
      <c r="B35" s="14" t="s">
        <v>17</v>
      </c>
      <c r="C35" s="15"/>
      <c r="D35" s="73"/>
      <c r="E35" s="103"/>
      <c r="F35" s="68"/>
      <c r="G35" s="68"/>
      <c r="H35" s="68"/>
      <c r="I35" s="68"/>
    </row>
    <row r="36" spans="2:9" ht="14.4" x14ac:dyDescent="0.3">
      <c r="B36" s="14" t="s">
        <v>18</v>
      </c>
      <c r="C36" s="15"/>
      <c r="D36" s="73"/>
      <c r="E36" s="103"/>
      <c r="F36" s="68"/>
      <c r="G36" s="68"/>
      <c r="H36" s="68"/>
      <c r="I36" s="68"/>
    </row>
    <row r="37" spans="2:9" s="32" customFormat="1" ht="14.4" x14ac:dyDescent="0.3">
      <c r="B37" s="17" t="s">
        <v>8</v>
      </c>
      <c r="C37" s="18"/>
      <c r="D37" s="74"/>
      <c r="E37" s="104">
        <f>SUM(E32:E36)</f>
        <v>260426</v>
      </c>
      <c r="G37" s="70"/>
      <c r="H37" s="70"/>
      <c r="I37" s="70"/>
    </row>
    <row r="38" spans="2:9" s="32" customFormat="1" ht="14.4" x14ac:dyDescent="0.3">
      <c r="B38" s="14" t="s">
        <v>19</v>
      </c>
      <c r="C38" s="149" t="s">
        <v>355</v>
      </c>
      <c r="D38" s="148" t="s">
        <v>356</v>
      </c>
      <c r="E38" s="68">
        <f>(4*55000)/2</f>
        <v>110000</v>
      </c>
      <c r="F38" s="68" t="s">
        <v>357</v>
      </c>
      <c r="H38" s="68" t="s">
        <v>358</v>
      </c>
    </row>
    <row r="39" spans="2:9" ht="14.4" x14ac:dyDescent="0.3">
      <c r="B39" s="14" t="s">
        <v>20</v>
      </c>
      <c r="C39" s="73"/>
      <c r="D39" s="16"/>
      <c r="E39" s="73"/>
    </row>
    <row r="40" spans="2:9" ht="14.4" x14ac:dyDescent="0.3">
      <c r="B40" s="14" t="s">
        <v>16</v>
      </c>
      <c r="C40" s="147"/>
      <c r="D40" s="73"/>
      <c r="E40" s="103"/>
      <c r="F40" s="68"/>
      <c r="G40" s="68"/>
      <c r="H40" s="68"/>
      <c r="I40" s="68"/>
    </row>
    <row r="41" spans="2:9" ht="14.4" x14ac:dyDescent="0.3">
      <c r="B41" s="14" t="s">
        <v>17</v>
      </c>
      <c r="C41" s="147"/>
      <c r="D41" s="73"/>
      <c r="E41" s="103"/>
      <c r="F41" s="68"/>
      <c r="G41" s="68"/>
      <c r="H41" s="68"/>
      <c r="I41" s="68"/>
    </row>
    <row r="42" spans="2:9" ht="14.4" x14ac:dyDescent="0.3">
      <c r="B42" s="14" t="s">
        <v>18</v>
      </c>
      <c r="C42" s="147"/>
      <c r="D42" s="73"/>
      <c r="E42" s="103"/>
      <c r="F42" s="68"/>
      <c r="G42" s="68"/>
      <c r="H42" s="68"/>
      <c r="I42" s="68"/>
    </row>
    <row r="43" spans="2:9" s="32" customFormat="1" ht="14.4" x14ac:dyDescent="0.3">
      <c r="B43" s="17" t="s">
        <v>22</v>
      </c>
      <c r="C43" s="18"/>
      <c r="D43" s="74"/>
      <c r="E43" s="104">
        <f>SUM(E38:E42)</f>
        <v>110000</v>
      </c>
      <c r="F43" s="70"/>
      <c r="G43" s="70"/>
      <c r="H43" s="70"/>
      <c r="I43" s="70"/>
    </row>
    <row r="44" spans="2:9" s="32" customFormat="1" ht="57.6" x14ac:dyDescent="0.3">
      <c r="B44" s="14" t="s">
        <v>19</v>
      </c>
      <c r="C44" s="147" t="s">
        <v>365</v>
      </c>
      <c r="D44" s="128" t="s">
        <v>379</v>
      </c>
      <c r="E44" s="103">
        <f>80+(24780*0.8) + (0.6 *54680) + (60140*0.4) +(0.2*66146)</f>
        <v>89997.2</v>
      </c>
      <c r="F44" s="70"/>
      <c r="G44" s="70"/>
      <c r="H44" s="68" t="s">
        <v>380</v>
      </c>
      <c r="I44" s="70"/>
    </row>
    <row r="45" spans="2:9" x14ac:dyDescent="0.3">
      <c r="D45" s="16"/>
    </row>
    <row r="46" spans="2:9" ht="14.4" x14ac:dyDescent="0.3">
      <c r="B46" s="14" t="s">
        <v>16</v>
      </c>
      <c r="C46" s="147"/>
      <c r="D46" s="107"/>
      <c r="E46" s="103"/>
      <c r="F46" s="68"/>
      <c r="G46" s="68"/>
      <c r="H46" s="68"/>
      <c r="I46" s="68"/>
    </row>
    <row r="47" spans="2:9" ht="14.4" x14ac:dyDescent="0.3">
      <c r="B47" s="14" t="s">
        <v>17</v>
      </c>
      <c r="C47" s="147"/>
      <c r="D47" s="107"/>
      <c r="E47" s="103"/>
      <c r="F47" s="68"/>
      <c r="G47" s="68"/>
      <c r="H47" s="68"/>
      <c r="I47" s="68"/>
    </row>
    <row r="48" spans="2:9" ht="14.4" x14ac:dyDescent="0.3">
      <c r="B48" s="14" t="s">
        <v>18</v>
      </c>
      <c r="C48" s="147"/>
      <c r="D48" s="107"/>
      <c r="E48" s="103"/>
      <c r="F48" s="68"/>
      <c r="G48" s="68"/>
      <c r="H48" s="68"/>
      <c r="I48" s="68"/>
    </row>
    <row r="49" spans="2:9" s="32" customFormat="1" ht="14.4" x14ac:dyDescent="0.3">
      <c r="B49" s="17" t="s">
        <v>9</v>
      </c>
      <c r="C49" s="157"/>
      <c r="D49" s="111"/>
      <c r="E49" s="112">
        <f>SUM(E44:E48)</f>
        <v>89997.2</v>
      </c>
      <c r="F49" s="70"/>
      <c r="G49" s="70"/>
      <c r="H49" s="70"/>
      <c r="I49" s="70"/>
    </row>
    <row r="50" spans="2:9" ht="57.6" x14ac:dyDescent="0.3">
      <c r="B50" s="14" t="s">
        <v>19</v>
      </c>
      <c r="C50" s="147" t="s">
        <v>331</v>
      </c>
      <c r="D50" s="116" t="s">
        <v>336</v>
      </c>
      <c r="E50" s="103">
        <f>(800*85)+(800*30)+(800*30)+(800*5)</f>
        <v>120000</v>
      </c>
      <c r="F50" s="71" t="s">
        <v>367</v>
      </c>
      <c r="G50" s="130" t="s">
        <v>337</v>
      </c>
      <c r="H50" s="129" t="s">
        <v>359</v>
      </c>
      <c r="I50" s="68"/>
    </row>
    <row r="51" spans="2:9" ht="57.6" x14ac:dyDescent="0.3">
      <c r="B51" s="14" t="s">
        <v>20</v>
      </c>
      <c r="C51" s="147" t="s">
        <v>331</v>
      </c>
      <c r="D51" s="146" t="s">
        <v>322</v>
      </c>
      <c r="E51" s="103"/>
      <c r="F51" s="68"/>
      <c r="G51" s="68"/>
      <c r="H51" s="139" t="s">
        <v>360</v>
      </c>
      <c r="I51" s="68"/>
    </row>
    <row r="52" spans="2:9" ht="28.8" x14ac:dyDescent="0.3">
      <c r="B52" s="14" t="s">
        <v>16</v>
      </c>
      <c r="C52" s="147" t="s">
        <v>368</v>
      </c>
      <c r="D52" s="150" t="s">
        <v>381</v>
      </c>
      <c r="E52" s="103"/>
      <c r="F52" s="68"/>
      <c r="G52" s="68"/>
      <c r="H52" s="68" t="s">
        <v>361</v>
      </c>
      <c r="I52" s="68"/>
    </row>
    <row r="53" spans="2:9" ht="28.8" x14ac:dyDescent="0.3">
      <c r="B53" s="14" t="s">
        <v>17</v>
      </c>
      <c r="C53" s="147" t="s">
        <v>368</v>
      </c>
      <c r="D53" s="152" t="s">
        <v>362</v>
      </c>
      <c r="E53" s="103"/>
      <c r="F53" s="68"/>
      <c r="G53" s="68"/>
      <c r="H53" s="68" t="s">
        <v>404</v>
      </c>
      <c r="I53" s="68"/>
    </row>
    <row r="54" spans="2:9" ht="72" x14ac:dyDescent="0.3">
      <c r="B54" s="14" t="s">
        <v>411</v>
      </c>
      <c r="C54" s="147" t="s">
        <v>561</v>
      </c>
      <c r="D54" s="166" t="s">
        <v>412</v>
      </c>
      <c r="E54" s="103">
        <f>500*140</f>
        <v>70000</v>
      </c>
      <c r="F54" s="71" t="s">
        <v>410</v>
      </c>
      <c r="G54" s="68"/>
      <c r="H54" s="68" t="s">
        <v>407</v>
      </c>
      <c r="I54" s="68"/>
    </row>
    <row r="55" spans="2:9" ht="28.8" x14ac:dyDescent="0.3">
      <c r="B55" s="14" t="s">
        <v>406</v>
      </c>
      <c r="C55" s="147" t="s">
        <v>368</v>
      </c>
      <c r="D55" s="167" t="s">
        <v>363</v>
      </c>
      <c r="E55" s="103"/>
      <c r="F55" s="68"/>
      <c r="G55" s="68"/>
      <c r="H55" s="68"/>
      <c r="I55" s="68"/>
    </row>
    <row r="56" spans="2:9" ht="43.2" x14ac:dyDescent="0.3">
      <c r="B56" s="14" t="s">
        <v>562</v>
      </c>
      <c r="C56" s="147"/>
      <c r="D56" s="167" t="s">
        <v>563</v>
      </c>
      <c r="E56" s="103" t="s">
        <v>564</v>
      </c>
      <c r="F56" s="68"/>
      <c r="G56" s="68"/>
      <c r="H56" s="68"/>
      <c r="I56" s="68"/>
    </row>
    <row r="57" spans="2:9" s="32" customFormat="1" ht="14.4" x14ac:dyDescent="0.3">
      <c r="B57" s="17" t="s">
        <v>10</v>
      </c>
      <c r="C57" s="18"/>
      <c r="D57" s="111"/>
      <c r="E57" s="113">
        <f>SUM(E50:E55)</f>
        <v>190000</v>
      </c>
      <c r="F57" s="70"/>
      <c r="G57" s="70"/>
      <c r="H57" s="70"/>
      <c r="I57" s="70"/>
    </row>
    <row r="58" spans="2:9" ht="57.6" x14ac:dyDescent="0.3">
      <c r="B58" s="14" t="s">
        <v>19</v>
      </c>
      <c r="C58" s="147" t="s">
        <v>369</v>
      </c>
      <c r="D58" s="127" t="s">
        <v>335</v>
      </c>
      <c r="E58" s="124"/>
      <c r="F58" s="70"/>
      <c r="G58" s="70"/>
      <c r="H58" s="70" t="s">
        <v>334</v>
      </c>
      <c r="I58" s="68"/>
    </row>
    <row r="59" spans="2:9" ht="14.4" x14ac:dyDescent="0.3">
      <c r="B59" s="14" t="s">
        <v>20</v>
      </c>
      <c r="C59" s="15"/>
      <c r="D59" s="119"/>
      <c r="E59" s="119"/>
      <c r="H59" s="68"/>
      <c r="I59" s="68"/>
    </row>
    <row r="60" spans="2:9" ht="14.4" x14ac:dyDescent="0.3">
      <c r="B60" s="14" t="s">
        <v>16</v>
      </c>
      <c r="C60" s="15"/>
      <c r="D60" s="119"/>
      <c r="E60" s="119"/>
      <c r="H60" s="68"/>
      <c r="I60" s="68"/>
    </row>
    <row r="61" spans="2:9" ht="14.4" x14ac:dyDescent="0.3">
      <c r="B61" s="14" t="s">
        <v>17</v>
      </c>
      <c r="C61" s="15"/>
      <c r="D61" s="145"/>
      <c r="E61" s="145"/>
      <c r="H61" s="68"/>
      <c r="I61" s="68"/>
    </row>
    <row r="62" spans="2:9" ht="14.4" x14ac:dyDescent="0.3">
      <c r="B62" s="14" t="s">
        <v>18</v>
      </c>
      <c r="C62" s="15"/>
      <c r="D62" s="119"/>
      <c r="E62" s="119"/>
      <c r="H62" s="68"/>
      <c r="I62" s="68"/>
    </row>
    <row r="63" spans="2:9" s="32" customFormat="1" ht="14.4" x14ac:dyDescent="0.3">
      <c r="B63" s="17" t="s">
        <v>11</v>
      </c>
      <c r="C63" s="18"/>
      <c r="D63" s="111"/>
      <c r="E63" s="113">
        <f>SUM(E58:E62)</f>
        <v>0</v>
      </c>
      <c r="F63" s="70"/>
      <c r="G63" s="70"/>
      <c r="H63" s="70"/>
      <c r="I63" s="70"/>
    </row>
    <row r="64" spans="2:9" s="32" customFormat="1" ht="14.4" x14ac:dyDescent="0.3">
      <c r="B64" s="14" t="s">
        <v>19</v>
      </c>
      <c r="C64" s="122"/>
      <c r="E64" s="124"/>
      <c r="F64" s="70"/>
      <c r="G64" s="70"/>
      <c r="H64" s="70"/>
      <c r="I64" s="70"/>
    </row>
    <row r="65" spans="2:9" s="32" customFormat="1" ht="14.4" x14ac:dyDescent="0.3">
      <c r="B65" s="14" t="s">
        <v>20</v>
      </c>
      <c r="C65" s="122"/>
      <c r="D65" s="123"/>
      <c r="E65" s="124"/>
      <c r="F65" s="70"/>
      <c r="G65" s="70"/>
      <c r="H65" s="70"/>
      <c r="I65" s="70"/>
    </row>
    <row r="66" spans="2:9" s="32" customFormat="1" ht="14.4" x14ac:dyDescent="0.3">
      <c r="B66" s="14" t="s">
        <v>16</v>
      </c>
      <c r="C66" s="122"/>
      <c r="D66" s="123"/>
      <c r="E66" s="124"/>
      <c r="F66" s="70"/>
      <c r="G66" s="70"/>
      <c r="H66" s="70"/>
      <c r="I66" s="70"/>
    </row>
    <row r="67" spans="2:9" s="32" customFormat="1" ht="14.4" x14ac:dyDescent="0.3">
      <c r="B67" s="14" t="s">
        <v>17</v>
      </c>
      <c r="C67" s="125"/>
      <c r="D67" s="107"/>
      <c r="E67" s="126"/>
      <c r="F67" s="70"/>
      <c r="G67" s="70"/>
      <c r="H67" s="70"/>
      <c r="I67" s="70"/>
    </row>
    <row r="68" spans="2:9" s="32" customFormat="1" ht="14.4" x14ac:dyDescent="0.3">
      <c r="B68" s="153" t="s">
        <v>149</v>
      </c>
      <c r="C68" s="154"/>
      <c r="D68" s="155"/>
      <c r="E68" s="113">
        <f>SUM(E64:E67)</f>
        <v>0</v>
      </c>
      <c r="F68" s="70"/>
      <c r="G68" s="70"/>
      <c r="H68" s="70"/>
      <c r="I68" s="70"/>
    </row>
    <row r="69" spans="2:9" ht="14.4" x14ac:dyDescent="0.3">
      <c r="B69" s="156"/>
      <c r="C69" s="122"/>
      <c r="D69" s="123"/>
      <c r="E69" s="124"/>
      <c r="F69" s="68"/>
      <c r="G69" s="68"/>
      <c r="H69" s="68"/>
      <c r="I69" s="68"/>
    </row>
    <row r="70" spans="2:9" ht="14.4" x14ac:dyDescent="0.3">
      <c r="D70" s="108" t="s">
        <v>12</v>
      </c>
      <c r="E70" s="109">
        <f>E11+E17+E23</f>
        <v>1496940</v>
      </c>
      <c r="F70" s="68"/>
      <c r="G70" s="68"/>
      <c r="H70" s="68"/>
      <c r="I70" s="68"/>
    </row>
    <row r="71" spans="2:9" ht="14.4" x14ac:dyDescent="0.3">
      <c r="D71" s="108" t="s">
        <v>13</v>
      </c>
      <c r="E71" s="110">
        <f>E37+E39+E57+E63+E43</f>
        <v>560426</v>
      </c>
      <c r="F71" s="68"/>
      <c r="G71" s="68"/>
      <c r="H71" s="68"/>
      <c r="I71" s="68"/>
    </row>
    <row r="72" spans="2:9" ht="15" thickBot="1" x14ac:dyDescent="0.35">
      <c r="D72" s="114" t="s">
        <v>382</v>
      </c>
      <c r="E72" s="115">
        <f>SUM(E70:E71)</f>
        <v>2057366</v>
      </c>
      <c r="F72" s="68"/>
      <c r="G72" s="68"/>
      <c r="H72" s="68"/>
      <c r="I72" s="68"/>
    </row>
    <row r="73" spans="2:9" ht="23.4" customHeight="1" thickTop="1" x14ac:dyDescent="0.3">
      <c r="B73" s="29" t="s">
        <v>15</v>
      </c>
      <c r="C73" s="34"/>
      <c r="D73" s="140" t="s">
        <v>383</v>
      </c>
      <c r="E73" s="36">
        <f>E72-E32</f>
        <v>2017366</v>
      </c>
      <c r="F73" s="68"/>
      <c r="G73" s="68"/>
      <c r="H73" s="68"/>
      <c r="I73" s="68"/>
    </row>
    <row r="74" spans="2:9" ht="14.4" x14ac:dyDescent="0.3">
      <c r="B74" s="28" t="s">
        <v>350</v>
      </c>
      <c r="D74" s="68"/>
      <c r="E74" s="99"/>
      <c r="F74" s="68"/>
      <c r="G74" s="68"/>
      <c r="H74" s="68"/>
      <c r="I74" s="68"/>
    </row>
    <row r="75" spans="2:9" ht="14.4" x14ac:dyDescent="0.3">
      <c r="B75" s="28" t="s">
        <v>23</v>
      </c>
      <c r="D75" s="68"/>
      <c r="E75" s="99"/>
      <c r="F75" s="68"/>
      <c r="G75" s="68"/>
      <c r="H75" s="68"/>
      <c r="I75" s="68"/>
    </row>
    <row r="76" spans="2:9" ht="14.4" x14ac:dyDescent="0.3">
      <c r="D76" s="68"/>
      <c r="E76" s="99"/>
      <c r="F76" s="68"/>
      <c r="G76" s="68"/>
      <c r="H76" s="68"/>
      <c r="I76" s="68"/>
    </row>
    <row r="77" spans="2:9" s="143" customFormat="1" ht="14.4" x14ac:dyDescent="0.3">
      <c r="B77" s="141" t="s">
        <v>349</v>
      </c>
      <c r="C77" s="142"/>
      <c r="E77" s="144"/>
      <c r="F77" s="141"/>
      <c r="G77" s="141"/>
      <c r="H77" s="141"/>
      <c r="I77" s="141"/>
    </row>
    <row r="78" spans="2:9" ht="14.4" x14ac:dyDescent="0.3">
      <c r="B78" s="28" t="s">
        <v>149</v>
      </c>
      <c r="D78" s="68"/>
      <c r="E78" s="99"/>
      <c r="F78" s="68"/>
      <c r="G78" s="68"/>
      <c r="H78" s="68"/>
      <c r="I78" s="68"/>
    </row>
    <row r="79" spans="2:9" ht="14.4" x14ac:dyDescent="0.3">
      <c r="C79" s="120"/>
      <c r="D79" s="68"/>
      <c r="E79" s="99"/>
      <c r="F79" s="68"/>
      <c r="G79" s="68"/>
      <c r="H79" s="68"/>
      <c r="I79" s="68"/>
    </row>
    <row r="80" spans="2:9" ht="14.4" x14ac:dyDescent="0.3">
      <c r="B80" s="28" t="s">
        <v>150</v>
      </c>
      <c r="C80" s="160" t="s">
        <v>372</v>
      </c>
      <c r="D80" s="68"/>
      <c r="E80" s="99"/>
      <c r="F80" s="68"/>
      <c r="G80" s="68"/>
      <c r="H80" s="68"/>
      <c r="I80" s="68"/>
    </row>
    <row r="81" spans="2:9" ht="14.4" x14ac:dyDescent="0.3">
      <c r="B81" s="28" t="s">
        <v>152</v>
      </c>
      <c r="C81" s="159" t="s">
        <v>153</v>
      </c>
      <c r="D81" s="68"/>
      <c r="E81" s="99"/>
      <c r="F81" s="68"/>
      <c r="G81" s="68"/>
      <c r="H81" s="68"/>
      <c r="I81" s="68"/>
    </row>
    <row r="82" spans="2:9" ht="14.4" x14ac:dyDescent="0.3">
      <c r="B82" s="28" t="s">
        <v>152</v>
      </c>
      <c r="C82" s="160" t="s">
        <v>373</v>
      </c>
      <c r="D82" s="68"/>
      <c r="E82" s="99"/>
      <c r="F82" s="68"/>
      <c r="G82" s="68"/>
      <c r="H82" s="68"/>
      <c r="I82" s="68"/>
    </row>
    <row r="83" spans="2:9" ht="14.4" x14ac:dyDescent="0.3">
      <c r="B83" s="28" t="s">
        <v>152</v>
      </c>
      <c r="C83" s="160" t="s">
        <v>154</v>
      </c>
      <c r="D83" s="68"/>
      <c r="E83" s="99"/>
      <c r="F83" s="68"/>
      <c r="G83" s="68"/>
      <c r="H83" s="68"/>
      <c r="I83" s="68"/>
    </row>
    <row r="84" spans="2:9" ht="14.4" x14ac:dyDescent="0.3">
      <c r="B84" s="28" t="s">
        <v>159</v>
      </c>
      <c r="C84" s="159" t="s">
        <v>160</v>
      </c>
      <c r="D84" s="68"/>
      <c r="E84" s="99"/>
      <c r="F84" s="68"/>
      <c r="G84" s="68"/>
      <c r="H84" s="68"/>
      <c r="I84" s="68"/>
    </row>
    <row r="85" spans="2:9" ht="14.4" x14ac:dyDescent="0.3">
      <c r="B85" s="28" t="s">
        <v>152</v>
      </c>
      <c r="C85" s="159" t="s">
        <v>161</v>
      </c>
      <c r="D85" s="68"/>
      <c r="E85" s="99"/>
      <c r="F85" s="68"/>
      <c r="G85" s="68"/>
      <c r="H85" s="68"/>
      <c r="I85" s="68"/>
    </row>
    <row r="86" spans="2:9" ht="14.4" x14ac:dyDescent="0.3">
      <c r="B86" s="28" t="s">
        <v>338</v>
      </c>
      <c r="C86" s="159" t="s">
        <v>339</v>
      </c>
      <c r="D86" s="68"/>
      <c r="E86" s="99"/>
      <c r="F86" s="68"/>
      <c r="G86" s="68"/>
      <c r="H86" s="68"/>
      <c r="I86" s="68"/>
    </row>
    <row r="87" spans="2:9" ht="14.4" x14ac:dyDescent="0.3">
      <c r="D87" s="68"/>
      <c r="E87" s="99"/>
      <c r="F87" s="68"/>
      <c r="G87" s="68"/>
      <c r="H87" s="68"/>
      <c r="I87" s="68"/>
    </row>
    <row r="88" spans="2:9" ht="14.4" x14ac:dyDescent="0.3">
      <c r="B88" s="28" t="s">
        <v>158</v>
      </c>
      <c r="D88" s="68"/>
      <c r="E88" s="99"/>
      <c r="F88" s="68"/>
      <c r="G88" s="68"/>
      <c r="H88" s="68"/>
      <c r="I88" s="68"/>
    </row>
    <row r="89" spans="2:9" ht="14.4" x14ac:dyDescent="0.3">
      <c r="D89" s="68"/>
      <c r="E89" s="99"/>
      <c r="F89" s="68"/>
      <c r="G89" s="68"/>
      <c r="H89" s="68"/>
      <c r="I89" s="68"/>
    </row>
    <row r="90" spans="2:9" ht="14.4" x14ac:dyDescent="0.3">
      <c r="D90" s="68"/>
      <c r="E90" s="99"/>
      <c r="F90" s="68"/>
      <c r="G90" s="68"/>
      <c r="H90" s="68"/>
      <c r="I90" s="68"/>
    </row>
    <row r="91" spans="2:9" ht="14.4" x14ac:dyDescent="0.3">
      <c r="B91" t="s">
        <v>155</v>
      </c>
      <c r="D91" s="68"/>
      <c r="E91" s="99"/>
      <c r="F91" s="68"/>
      <c r="G91" s="68"/>
      <c r="H91" s="68"/>
      <c r="I91" s="68"/>
    </row>
    <row r="92" spans="2:9" ht="14.4" x14ac:dyDescent="0.3">
      <c r="D92" s="68"/>
      <c r="E92" s="99"/>
      <c r="F92" s="68"/>
      <c r="G92" s="68"/>
      <c r="H92" s="68"/>
      <c r="I92" s="68"/>
    </row>
    <row r="93" spans="2:9" ht="14.4" x14ac:dyDescent="0.3">
      <c r="B93" t="s">
        <v>157</v>
      </c>
      <c r="D93" s="68"/>
      <c r="E93" s="99"/>
      <c r="F93" s="68"/>
      <c r="G93" s="68"/>
      <c r="H93" s="68"/>
      <c r="I93" s="68"/>
    </row>
    <row r="94" spans="2:9" ht="14.4" x14ac:dyDescent="0.3">
      <c r="D94" s="68"/>
      <c r="E94" s="99"/>
      <c r="F94" s="68"/>
      <c r="G94" s="68"/>
      <c r="H94" s="68"/>
      <c r="I94" s="68"/>
    </row>
    <row r="95" spans="2:9" ht="14.4" x14ac:dyDescent="0.3">
      <c r="B95" t="s">
        <v>156</v>
      </c>
      <c r="D95" s="68"/>
      <c r="E95" s="99"/>
      <c r="F95" s="68"/>
      <c r="G95" s="68"/>
      <c r="H95" s="68"/>
      <c r="I95" s="68"/>
    </row>
    <row r="96" spans="2:9" ht="14.4" x14ac:dyDescent="0.3">
      <c r="D96" s="68"/>
      <c r="E96" s="99"/>
      <c r="F96" s="68"/>
      <c r="G96" s="68"/>
      <c r="H96" s="68"/>
      <c r="I96" s="68"/>
    </row>
    <row r="97" spans="2:9" ht="14.4" x14ac:dyDescent="0.3">
      <c r="B97" s="28" t="s">
        <v>342</v>
      </c>
      <c r="D97" s="68"/>
      <c r="E97" s="99"/>
      <c r="F97" s="68"/>
      <c r="G97" s="68"/>
      <c r="H97" s="68"/>
      <c r="I97" s="68"/>
    </row>
    <row r="98" spans="2:9" ht="14.4" x14ac:dyDescent="0.3">
      <c r="B98" s="28" t="s">
        <v>343</v>
      </c>
      <c r="D98" s="68"/>
      <c r="E98" s="99"/>
      <c r="F98" s="68"/>
      <c r="G98" s="68"/>
      <c r="H98" s="68"/>
      <c r="I98" s="68"/>
    </row>
    <row r="99" spans="2:9" ht="14.4" x14ac:dyDescent="0.3">
      <c r="B99" s="28" t="s">
        <v>364</v>
      </c>
      <c r="D99" s="68"/>
      <c r="E99" s="99"/>
      <c r="F99" s="68"/>
      <c r="G99" s="68"/>
      <c r="H99" s="68"/>
      <c r="I99" s="68"/>
    </row>
    <row r="100" spans="2:9" ht="15" x14ac:dyDescent="0.25">
      <c r="B100" s="207" t="s">
        <v>414</v>
      </c>
      <c r="D100" s="68"/>
      <c r="E100" s="99"/>
      <c r="F100" s="68"/>
      <c r="G100" s="68"/>
      <c r="H100" s="68"/>
      <c r="I100" s="68"/>
    </row>
    <row r="101" spans="2:9" ht="14.4" x14ac:dyDescent="0.3">
      <c r="D101" s="68"/>
      <c r="E101" s="99"/>
      <c r="F101" s="68"/>
      <c r="G101" s="68"/>
      <c r="H101" s="68"/>
      <c r="I101" s="68"/>
    </row>
    <row r="102" spans="2:9" ht="14.4" x14ac:dyDescent="0.3">
      <c r="D102" s="68"/>
      <c r="E102" s="99"/>
      <c r="F102" s="68"/>
      <c r="G102" s="68"/>
      <c r="H102" s="68"/>
      <c r="I102" s="68"/>
    </row>
  </sheetData>
  <hyperlinks>
    <hyperlink ref="H32" r:id="rId1" display="https://www.vedp.org/incentive/major-business-facility-job-tax-credit, Companies may not claim the same jobs for the Major Business Facility Job Tax Credit, the Enterprise Zone Job Creation Grant, the Port of Virginia Economic and Infrastructure Development Grant, the International Trade Facility Tax Credit, or the Green Job Creation Tax Credit." xr:uid="{9F159860-3EF6-40D1-B26F-686369158ED3}"/>
    <hyperlink ref="H33" r:id="rId2" xr:uid="{07C8470A-EF74-45BB-80D0-99F0B3C11590}"/>
    <hyperlink ref="H14" r:id="rId3" display="https://www.halifaxnc.com/DocumentCenter/View/3132/FY22-23_FeeSchedule_proposed, " xr:uid="{A08E8F3F-1270-4304-B393-D8D8149F54F3}"/>
    <hyperlink ref="H51" r:id="rId4" xr:uid="{CF2CB598-AC74-4F17-B508-A6582C711407}"/>
  </hyperlinks>
  <pageMargins left="0.45" right="0.45" top="0.75" bottom="0.75" header="0.3" footer="0.3"/>
  <pageSetup scale="54" fitToHeight="0"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0D0D-78E4-46E8-8137-E76FD3A77294}">
  <dimension ref="A1:T21"/>
  <sheetViews>
    <sheetView workbookViewId="0">
      <selection activeCell="M4" sqref="M4"/>
    </sheetView>
  </sheetViews>
  <sheetFormatPr defaultRowHeight="14.4" x14ac:dyDescent="0.3"/>
  <cols>
    <col min="1" max="1" width="39.6640625" customWidth="1"/>
    <col min="4" max="4" width="9.109375" bestFit="1" customWidth="1"/>
    <col min="5" max="5" width="11.5546875" bestFit="1" customWidth="1"/>
    <col min="6" max="6" width="10.5546875" bestFit="1" customWidth="1"/>
  </cols>
  <sheetData>
    <row r="1" spans="1:17" x14ac:dyDescent="0.3">
      <c r="A1" s="64"/>
      <c r="B1" s="64"/>
      <c r="C1" s="64"/>
      <c r="D1" s="64"/>
      <c r="L1" t="s">
        <v>76</v>
      </c>
      <c r="M1" t="s">
        <v>77</v>
      </c>
      <c r="N1" t="s">
        <v>78</v>
      </c>
      <c r="O1" t="s">
        <v>79</v>
      </c>
      <c r="P1" t="s">
        <v>80</v>
      </c>
    </row>
    <row r="2" spans="1:17" x14ac:dyDescent="0.3">
      <c r="B2" s="64"/>
      <c r="C2" s="64"/>
      <c r="D2" s="64"/>
      <c r="H2" t="s">
        <v>430</v>
      </c>
      <c r="K2" t="s">
        <v>277</v>
      </c>
      <c r="L2">
        <f>((8000000/100)*1.26)</f>
        <v>100800</v>
      </c>
      <c r="M2">
        <f>(((4000000/100)*1.26)/2)+L2</f>
        <v>126000</v>
      </c>
      <c r="N2">
        <f>(((1000000/100)*1.26)/2)+M2</f>
        <v>132300</v>
      </c>
      <c r="O2">
        <f>(((1000000/100)*1.26)/2)+N2</f>
        <v>138600</v>
      </c>
      <c r="P2">
        <f>O2</f>
        <v>138600</v>
      </c>
    </row>
    <row r="3" spans="1:17" x14ac:dyDescent="0.3">
      <c r="A3" s="170" t="s">
        <v>222</v>
      </c>
      <c r="B3" s="64"/>
      <c r="C3" s="64"/>
      <c r="D3" s="64"/>
      <c r="K3" t="s">
        <v>278</v>
      </c>
      <c r="L3">
        <f>((500000/100)*3.85)</f>
        <v>19250</v>
      </c>
      <c r="M3">
        <f>L3*2</f>
        <v>38500</v>
      </c>
      <c r="N3">
        <f>((200000/100)*3.85)/2+M3</f>
        <v>42350</v>
      </c>
      <c r="O3">
        <f>N3+1260</f>
        <v>43610</v>
      </c>
      <c r="P3">
        <f>O3</f>
        <v>43610</v>
      </c>
    </row>
    <row r="4" spans="1:17" x14ac:dyDescent="0.3">
      <c r="A4" s="171" t="s">
        <v>223</v>
      </c>
      <c r="B4" s="64"/>
      <c r="C4" s="64"/>
      <c r="D4" s="64"/>
      <c r="K4" t="s">
        <v>553</v>
      </c>
      <c r="L4">
        <f>SUM(L2:L3)</f>
        <v>120050</v>
      </c>
      <c r="M4">
        <f t="shared" ref="M4:P4" si="0">SUM(M2:M3)</f>
        <v>164500</v>
      </c>
      <c r="N4">
        <f t="shared" si="0"/>
        <v>174650</v>
      </c>
      <c r="O4">
        <f t="shared" si="0"/>
        <v>182210</v>
      </c>
      <c r="P4">
        <f t="shared" si="0"/>
        <v>182210</v>
      </c>
      <c r="Q4">
        <f>SUM(L4:P4)</f>
        <v>823620</v>
      </c>
    </row>
    <row r="5" spans="1:17" x14ac:dyDescent="0.3">
      <c r="A5" s="171" t="s">
        <v>288</v>
      </c>
      <c r="B5" s="64"/>
      <c r="C5" s="64"/>
      <c r="D5" s="64"/>
    </row>
    <row r="6" spans="1:17" x14ac:dyDescent="0.3">
      <c r="A6" s="171" t="s">
        <v>224</v>
      </c>
      <c r="B6" s="64"/>
      <c r="C6" s="64"/>
      <c r="D6" s="64"/>
    </row>
    <row r="7" spans="1:17" x14ac:dyDescent="0.3">
      <c r="A7" s="64"/>
      <c r="B7" s="64"/>
      <c r="C7" s="64"/>
      <c r="D7" s="64"/>
    </row>
    <row r="8" spans="1:17" x14ac:dyDescent="0.3">
      <c r="A8" s="173" t="s">
        <v>226</v>
      </c>
      <c r="B8" s="172"/>
      <c r="C8" s="64"/>
      <c r="D8" s="64"/>
      <c r="H8" t="s">
        <v>429</v>
      </c>
      <c r="L8" t="s">
        <v>76</v>
      </c>
      <c r="M8" t="s">
        <v>77</v>
      </c>
      <c r="N8" t="s">
        <v>78</v>
      </c>
      <c r="O8" t="s">
        <v>79</v>
      </c>
      <c r="P8" t="s">
        <v>80</v>
      </c>
    </row>
    <row r="9" spans="1:17" x14ac:dyDescent="0.3">
      <c r="A9" s="172" t="s">
        <v>279</v>
      </c>
      <c r="B9" s="172"/>
      <c r="C9" s="64"/>
      <c r="D9" s="64"/>
      <c r="K9" t="s">
        <v>289</v>
      </c>
      <c r="L9">
        <f>((8000000/100)*1.3)</f>
        <v>104000</v>
      </c>
      <c r="M9">
        <f>((4000000/100)*1.3)+L9</f>
        <v>156000</v>
      </c>
      <c r="N9">
        <f>(1000000/100)*1.3+M9</f>
        <v>169000</v>
      </c>
      <c r="O9">
        <f>(1000000/100)*1.3+N9</f>
        <v>182000</v>
      </c>
      <c r="P9">
        <f>O9</f>
        <v>182000</v>
      </c>
    </row>
    <row r="10" spans="1:17" x14ac:dyDescent="0.3">
      <c r="A10" s="173" t="s">
        <v>280</v>
      </c>
      <c r="B10" s="173" t="s">
        <v>281</v>
      </c>
      <c r="C10" s="64"/>
      <c r="D10" s="64"/>
      <c r="K10" t="s">
        <v>290</v>
      </c>
      <c r="L10">
        <f>(500000/100)*4.5</f>
        <v>22500</v>
      </c>
      <c r="M10">
        <f>((500000/100)*4.5)+L10</f>
        <v>45000</v>
      </c>
      <c r="N10">
        <f>((200000/100)*4.5)+M10</f>
        <v>54000</v>
      </c>
      <c r="O10">
        <f>((200000/100)*4.5)+N10</f>
        <v>63000</v>
      </c>
      <c r="P10">
        <v>63000</v>
      </c>
    </row>
    <row r="11" spans="1:17" x14ac:dyDescent="0.3">
      <c r="A11" s="176" t="s">
        <v>282</v>
      </c>
      <c r="B11" s="172" t="s">
        <v>283</v>
      </c>
      <c r="C11" s="64"/>
      <c r="D11" s="64"/>
      <c r="K11" t="s">
        <v>553</v>
      </c>
      <c r="L11">
        <f>SUM(L9:L10)</f>
        <v>126500</v>
      </c>
      <c r="M11">
        <f t="shared" ref="M11" si="1">SUM(M9:M10)</f>
        <v>201000</v>
      </c>
      <c r="N11">
        <f t="shared" ref="N11" si="2">SUM(N9:N10)</f>
        <v>223000</v>
      </c>
      <c r="O11">
        <f t="shared" ref="O11" si="3">SUM(O9:O10)</f>
        <v>245000</v>
      </c>
      <c r="P11">
        <f t="shared" ref="P11" si="4">SUM(P9:P10)</f>
        <v>245000</v>
      </c>
      <c r="Q11">
        <f>SUM(L11:P11)</f>
        <v>1040500</v>
      </c>
    </row>
    <row r="12" spans="1:17" x14ac:dyDescent="0.3">
      <c r="A12" s="176" t="s">
        <v>287</v>
      </c>
      <c r="B12" s="172" t="s">
        <v>284</v>
      </c>
      <c r="C12" s="64"/>
      <c r="D12" s="64"/>
    </row>
    <row r="13" spans="1:17" x14ac:dyDescent="0.3">
      <c r="A13" s="172" t="s">
        <v>285</v>
      </c>
      <c r="B13" s="172" t="s">
        <v>286</v>
      </c>
      <c r="C13" s="64"/>
      <c r="D13" s="64"/>
      <c r="H13" t="s">
        <v>294</v>
      </c>
    </row>
    <row r="16" spans="1:17" ht="72" x14ac:dyDescent="0.3">
      <c r="A16" t="s">
        <v>433</v>
      </c>
      <c r="D16" s="46" t="s">
        <v>231</v>
      </c>
      <c r="E16" s="46"/>
      <c r="F16" s="46" t="s">
        <v>233</v>
      </c>
    </row>
    <row r="17" spans="1:20" ht="43.2" x14ac:dyDescent="0.3">
      <c r="A17" t="s">
        <v>230</v>
      </c>
      <c r="D17" s="65">
        <v>12736300</v>
      </c>
      <c r="E17" s="46" t="s">
        <v>273</v>
      </c>
      <c r="F17" s="65">
        <v>72285</v>
      </c>
      <c r="H17" s="48" t="s">
        <v>232</v>
      </c>
      <c r="P17" t="s">
        <v>234</v>
      </c>
    </row>
    <row r="18" spans="1:20" x14ac:dyDescent="0.3">
      <c r="A18" t="s">
        <v>235</v>
      </c>
      <c r="D18" s="66">
        <v>4937186</v>
      </c>
      <c r="E18" s="46" t="s">
        <v>241</v>
      </c>
      <c r="F18" s="47">
        <f>(D18/100)*0.5</f>
        <v>24685.93</v>
      </c>
      <c r="H18" t="s">
        <v>236</v>
      </c>
      <c r="L18" t="s">
        <v>237</v>
      </c>
      <c r="R18" t="s">
        <v>243</v>
      </c>
      <c r="T18" t="s">
        <v>242</v>
      </c>
    </row>
    <row r="19" spans="1:20" x14ac:dyDescent="0.3">
      <c r="D19" t="s">
        <v>274</v>
      </c>
    </row>
    <row r="20" spans="1:20" x14ac:dyDescent="0.3">
      <c r="H20" t="s">
        <v>240</v>
      </c>
    </row>
    <row r="21" spans="1:20" x14ac:dyDescent="0.3">
      <c r="A21" t="s">
        <v>229</v>
      </c>
    </row>
  </sheetData>
  <hyperlinks>
    <hyperlink ref="H17" r:id="rId1" xr:uid="{1F0C5C87-DF61-45E3-85E6-D598724CF9AA}"/>
    <hyperlink ref="A11" r:id="rId2" display="https://www.winchesterva.gov/treasurer/real-estate" xr:uid="{BA97ABED-5ED6-4DE6-8E02-C731E2B25152}"/>
    <hyperlink ref="A12" r:id="rId3" display="https://www.winchesterva.gov/treasurer/personal-property" xr:uid="{CDC5B5F8-2881-487C-B4D3-3BCB4AA1BA2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9BC8-6D21-4D3E-9D39-0CEB9E602ADC}">
  <dimension ref="A2:J17"/>
  <sheetViews>
    <sheetView workbookViewId="0">
      <selection activeCell="H18" sqref="H18"/>
    </sheetView>
  </sheetViews>
  <sheetFormatPr defaultRowHeight="14.4" x14ac:dyDescent="0.3"/>
  <cols>
    <col min="2" max="2" width="18.33203125" customWidth="1"/>
  </cols>
  <sheetData>
    <row r="2" spans="1:10" x14ac:dyDescent="0.3">
      <c r="B2" t="s">
        <v>293</v>
      </c>
      <c r="C2" t="s">
        <v>76</v>
      </c>
      <c r="D2" t="s">
        <v>77</v>
      </c>
      <c r="E2" t="s">
        <v>78</v>
      </c>
      <c r="F2" t="s">
        <v>79</v>
      </c>
      <c r="G2" t="s">
        <v>80</v>
      </c>
    </row>
    <row r="3" spans="1:10" x14ac:dyDescent="0.3">
      <c r="A3" t="s">
        <v>244</v>
      </c>
      <c r="C3">
        <v>30</v>
      </c>
      <c r="D3">
        <f>(30+(0.1*(19000000/100)))</f>
        <v>19030</v>
      </c>
      <c r="E3">
        <f>30+(0.1*(42000000/100))</f>
        <v>42030</v>
      </c>
      <c r="F3">
        <f>30+(0.1*(46200000/100))</f>
        <v>46230</v>
      </c>
      <c r="G3">
        <f>30+(0.1*(50820000/100))</f>
        <v>50850</v>
      </c>
    </row>
    <row r="4" spans="1:10" x14ac:dyDescent="0.3">
      <c r="A4" t="s">
        <v>297</v>
      </c>
      <c r="C4">
        <f>(50+(0.05*0))</f>
        <v>50</v>
      </c>
      <c r="D4">
        <f>50+(0.03*(19000000/100))</f>
        <v>5750</v>
      </c>
      <c r="E4">
        <f>50+(0.03*(42000000/100))</f>
        <v>12650</v>
      </c>
      <c r="F4">
        <f>50+(0.03*(46200000/100))</f>
        <v>13910</v>
      </c>
      <c r="G4">
        <f>50+(0.03*(50820000/100))</f>
        <v>15296</v>
      </c>
      <c r="H4" t="s">
        <v>302</v>
      </c>
    </row>
    <row r="5" spans="1:10" x14ac:dyDescent="0.3">
      <c r="B5" t="s">
        <v>316</v>
      </c>
      <c r="C5">
        <f>SUM(C3:C4)</f>
        <v>80</v>
      </c>
      <c r="D5">
        <f t="shared" ref="D5:G5" si="0">SUM(D3:D4)</f>
        <v>24780</v>
      </c>
      <c r="E5">
        <f t="shared" si="0"/>
        <v>54680</v>
      </c>
      <c r="F5">
        <f t="shared" si="0"/>
        <v>60140</v>
      </c>
      <c r="G5">
        <f t="shared" si="0"/>
        <v>66146</v>
      </c>
    </row>
    <row r="6" spans="1:10" x14ac:dyDescent="0.3">
      <c r="A6" t="s">
        <v>299</v>
      </c>
      <c r="C6">
        <v>0</v>
      </c>
      <c r="D6">
        <f>(19000000/100)*0.05</f>
        <v>9500</v>
      </c>
      <c r="E6">
        <f>(42000000/100)*0.05</f>
        <v>21000</v>
      </c>
      <c r="F6">
        <f>(46200000/100)*0.05</f>
        <v>23100</v>
      </c>
      <c r="G6">
        <f>(50820000/100)*0.05</f>
        <v>25410</v>
      </c>
      <c r="H6" t="s">
        <v>300</v>
      </c>
    </row>
    <row r="7" spans="1:10" x14ac:dyDescent="0.3">
      <c r="A7" t="s">
        <v>295</v>
      </c>
      <c r="C7" t="s">
        <v>315</v>
      </c>
    </row>
    <row r="9" spans="1:10" x14ac:dyDescent="0.3">
      <c r="A9" t="s">
        <v>227</v>
      </c>
      <c r="B9" t="s">
        <v>298</v>
      </c>
    </row>
    <row r="10" spans="1:10" x14ac:dyDescent="0.3">
      <c r="A10" t="s">
        <v>295</v>
      </c>
      <c r="B10" t="s">
        <v>424</v>
      </c>
    </row>
    <row r="12" spans="1:10" x14ac:dyDescent="0.3">
      <c r="A12" t="s">
        <v>297</v>
      </c>
      <c r="B12" t="s">
        <v>301</v>
      </c>
      <c r="J12" t="s">
        <v>302</v>
      </c>
    </row>
    <row r="13" spans="1:10" x14ac:dyDescent="0.3">
      <c r="A13" t="s">
        <v>296</v>
      </c>
      <c r="B13" t="s">
        <v>303</v>
      </c>
      <c r="D13" s="48" t="s">
        <v>304</v>
      </c>
    </row>
    <row r="17" spans="5:5" x14ac:dyDescent="0.3">
      <c r="E17" t="s">
        <v>305</v>
      </c>
    </row>
  </sheetData>
  <hyperlinks>
    <hyperlink ref="D13" r:id="rId1" xr:uid="{F781FB09-031E-41BA-960C-87E973E78E3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2691A-F3E3-436F-82B7-2E3EE94496AA}">
  <dimension ref="A1:I28"/>
  <sheetViews>
    <sheetView workbookViewId="0">
      <selection activeCell="I13" sqref="I13"/>
    </sheetView>
  </sheetViews>
  <sheetFormatPr defaultRowHeight="14.4" x14ac:dyDescent="0.3"/>
  <cols>
    <col min="1" max="1" width="25.44140625" customWidth="1"/>
    <col min="2" max="2" width="16.6640625" customWidth="1"/>
    <col min="3" max="3" width="14.44140625" customWidth="1"/>
    <col min="5" max="5" width="13" customWidth="1"/>
    <col min="7" max="7" width="15.5546875" bestFit="1" customWidth="1"/>
    <col min="9" max="9" width="16.21875" customWidth="1"/>
  </cols>
  <sheetData>
    <row r="1" spans="1:9" x14ac:dyDescent="0.3">
      <c r="B1" t="s">
        <v>245</v>
      </c>
      <c r="C1" t="s">
        <v>253</v>
      </c>
    </row>
    <row r="2" spans="1:9" x14ac:dyDescent="0.3">
      <c r="A2" t="s">
        <v>486</v>
      </c>
      <c r="B2" s="160" t="s">
        <v>485</v>
      </c>
      <c r="C2" s="160" t="s">
        <v>484</v>
      </c>
    </row>
    <row r="3" spans="1:9" x14ac:dyDescent="0.3">
      <c r="A3" t="s">
        <v>482</v>
      </c>
      <c r="B3" s="200">
        <v>508</v>
      </c>
      <c r="C3" s="200">
        <v>385</v>
      </c>
      <c r="D3" t="s">
        <v>483</v>
      </c>
    </row>
    <row r="4" spans="1:9" x14ac:dyDescent="0.3">
      <c r="A4" t="s">
        <v>442</v>
      </c>
      <c r="B4" s="160" t="s">
        <v>307</v>
      </c>
      <c r="C4" s="160" t="s">
        <v>308</v>
      </c>
    </row>
    <row r="5" spans="1:9" x14ac:dyDescent="0.3">
      <c r="A5" t="s">
        <v>443</v>
      </c>
      <c r="B5" s="160" t="s">
        <v>441</v>
      </c>
      <c r="C5" s="160" t="s">
        <v>310</v>
      </c>
      <c r="F5" t="s">
        <v>472</v>
      </c>
    </row>
    <row r="6" spans="1:9" x14ac:dyDescent="0.3">
      <c r="A6" s="165"/>
      <c r="B6" s="175"/>
      <c r="C6" s="175"/>
    </row>
    <row r="7" spans="1:9" x14ac:dyDescent="0.3">
      <c r="B7" s="175"/>
      <c r="C7" s="175"/>
    </row>
    <row r="8" spans="1:9" x14ac:dyDescent="0.3">
      <c r="A8" t="s">
        <v>487</v>
      </c>
      <c r="B8" s="175" t="s">
        <v>245</v>
      </c>
      <c r="C8" s="175" t="s">
        <v>253</v>
      </c>
    </row>
    <row r="9" spans="1:9" x14ac:dyDescent="0.3">
      <c r="A9" t="s">
        <v>488</v>
      </c>
    </row>
    <row r="10" spans="1:9" x14ac:dyDescent="0.3">
      <c r="A10" t="s">
        <v>500</v>
      </c>
      <c r="E10" t="s">
        <v>493</v>
      </c>
    </row>
    <row r="11" spans="1:9" x14ac:dyDescent="0.3">
      <c r="A11" t="s">
        <v>489</v>
      </c>
      <c r="E11" t="s">
        <v>514</v>
      </c>
      <c r="F11" t="s">
        <v>494</v>
      </c>
      <c r="G11" t="s">
        <v>495</v>
      </c>
      <c r="H11" t="s">
        <v>496</v>
      </c>
    </row>
    <row r="12" spans="1:9" ht="43.2" x14ac:dyDescent="0.3">
      <c r="A12" s="46" t="s">
        <v>491</v>
      </c>
      <c r="C12">
        <f>D12/4</f>
        <v>107.85</v>
      </c>
      <c r="D12">
        <f>SUM(70.7, 72.7, 170, 118)</f>
        <v>431.4</v>
      </c>
      <c r="E12" s="201">
        <v>1591000</v>
      </c>
      <c r="F12">
        <v>372000</v>
      </c>
      <c r="G12">
        <v>235089</v>
      </c>
      <c r="H12">
        <v>226604</v>
      </c>
      <c r="I12" s="59">
        <f>SUM(E12:H12)</f>
        <v>2424693</v>
      </c>
    </row>
    <row r="13" spans="1:9" ht="43.2" x14ac:dyDescent="0.3">
      <c r="A13" s="46" t="s">
        <v>492</v>
      </c>
      <c r="C13">
        <f>D13/4</f>
        <v>136.77500000000001</v>
      </c>
      <c r="D13">
        <f>SUM(104, 90.1, 207, 146)</f>
        <v>547.1</v>
      </c>
      <c r="E13">
        <v>576498</v>
      </c>
      <c r="F13">
        <v>5490000</v>
      </c>
      <c r="G13" s="202">
        <v>5785000</v>
      </c>
      <c r="H13">
        <v>226604</v>
      </c>
      <c r="I13" s="59">
        <f>SUM(E13:H13)</f>
        <v>12078102</v>
      </c>
    </row>
    <row r="14" spans="1:9" x14ac:dyDescent="0.3">
      <c r="E14" t="s">
        <v>497</v>
      </c>
      <c r="F14" t="s">
        <v>498</v>
      </c>
      <c r="G14" t="s">
        <v>499</v>
      </c>
      <c r="H14" t="s">
        <v>496</v>
      </c>
    </row>
    <row r="17" spans="1:7" x14ac:dyDescent="0.3">
      <c r="A17" t="s">
        <v>501</v>
      </c>
      <c r="D17" t="s">
        <v>512</v>
      </c>
      <c r="F17" t="s">
        <v>506</v>
      </c>
    </row>
    <row r="18" spans="1:7" x14ac:dyDescent="0.3">
      <c r="A18" t="s">
        <v>490</v>
      </c>
    </row>
    <row r="19" spans="1:7" x14ac:dyDescent="0.3">
      <c r="A19" t="s">
        <v>503</v>
      </c>
      <c r="B19" s="47">
        <v>692.79</v>
      </c>
      <c r="D19" s="47">
        <f>AVERAGE(B19:B22)</f>
        <v>754.78250000000003</v>
      </c>
    </row>
    <row r="20" spans="1:7" x14ac:dyDescent="0.3">
      <c r="A20" t="s">
        <v>502</v>
      </c>
      <c r="B20">
        <v>728</v>
      </c>
    </row>
    <row r="21" spans="1:7" x14ac:dyDescent="0.3">
      <c r="A21" t="s">
        <v>504</v>
      </c>
      <c r="B21">
        <v>827.25</v>
      </c>
    </row>
    <row r="22" spans="1:7" x14ac:dyDescent="0.3">
      <c r="A22" t="s">
        <v>505</v>
      </c>
      <c r="B22">
        <v>771.09</v>
      </c>
    </row>
    <row r="23" spans="1:7" x14ac:dyDescent="0.3">
      <c r="A23" t="s">
        <v>507</v>
      </c>
      <c r="B23">
        <v>535.57000000000005</v>
      </c>
      <c r="D23">
        <f>AVERAGE(B23:B26)</f>
        <v>580.68000000000006</v>
      </c>
      <c r="G23" t="s">
        <v>511</v>
      </c>
    </row>
    <row r="24" spans="1:7" x14ac:dyDescent="0.3">
      <c r="A24" t="s">
        <v>508</v>
      </c>
      <c r="B24">
        <v>545.57000000000005</v>
      </c>
    </row>
    <row r="25" spans="1:7" x14ac:dyDescent="0.3">
      <c r="A25" t="s">
        <v>509</v>
      </c>
      <c r="B25">
        <v>674.87</v>
      </c>
    </row>
    <row r="26" spans="1:7" x14ac:dyDescent="0.3">
      <c r="A26" t="s">
        <v>510</v>
      </c>
      <c r="B26">
        <v>566.71</v>
      </c>
    </row>
    <row r="27" spans="1:7" x14ac:dyDescent="0.3">
      <c r="E27" t="s">
        <v>515</v>
      </c>
    </row>
    <row r="28" spans="1:7" x14ac:dyDescent="0.3">
      <c r="A28" t="s">
        <v>513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B282-BF18-4C17-85F7-ED0BA1CA3488}">
  <dimension ref="D1:U28"/>
  <sheetViews>
    <sheetView tabSelected="1" topLeftCell="A10" workbookViewId="0">
      <selection activeCell="J32" sqref="J32"/>
    </sheetView>
  </sheetViews>
  <sheetFormatPr defaultRowHeight="14.4" x14ac:dyDescent="0.3"/>
  <sheetData>
    <row r="1" spans="5:19" x14ac:dyDescent="0.3">
      <c r="E1" t="s">
        <v>521</v>
      </c>
    </row>
    <row r="2" spans="5:19" x14ac:dyDescent="0.3">
      <c r="L2" t="s">
        <v>516</v>
      </c>
    </row>
    <row r="3" spans="5:19" ht="124.8" x14ac:dyDescent="0.3">
      <c r="L3" s="204" t="s">
        <v>517</v>
      </c>
      <c r="M3" s="203" t="s">
        <v>520</v>
      </c>
    </row>
    <row r="4" spans="5:19" ht="19.2" x14ac:dyDescent="0.3">
      <c r="L4" s="205" t="s">
        <v>518</v>
      </c>
      <c r="M4" s="204" t="s">
        <v>519</v>
      </c>
      <c r="Q4" t="s">
        <v>253</v>
      </c>
      <c r="R4" t="s">
        <v>540</v>
      </c>
      <c r="S4" t="s">
        <v>547</v>
      </c>
    </row>
    <row r="5" spans="5:19" x14ac:dyDescent="0.3">
      <c r="Q5" s="46"/>
      <c r="R5" t="s">
        <v>541</v>
      </c>
      <c r="S5">
        <v>22.4</v>
      </c>
    </row>
    <row r="6" spans="5:19" x14ac:dyDescent="0.3">
      <c r="R6" t="s">
        <v>542</v>
      </c>
      <c r="S6">
        <v>11.7</v>
      </c>
    </row>
    <row r="7" spans="5:19" x14ac:dyDescent="0.3">
      <c r="R7" t="s">
        <v>543</v>
      </c>
      <c r="S7">
        <v>11</v>
      </c>
    </row>
    <row r="8" spans="5:19" x14ac:dyDescent="0.3">
      <c r="R8" t="s">
        <v>544</v>
      </c>
      <c r="S8">
        <v>10.8</v>
      </c>
    </row>
    <row r="9" spans="5:19" x14ac:dyDescent="0.3">
      <c r="L9" t="s">
        <v>522</v>
      </c>
      <c r="M9" t="s">
        <v>523</v>
      </c>
      <c r="R9" t="s">
        <v>149</v>
      </c>
      <c r="S9">
        <v>44.1</v>
      </c>
    </row>
    <row r="10" spans="5:19" x14ac:dyDescent="0.3">
      <c r="L10" t="s">
        <v>524</v>
      </c>
      <c r="M10" s="62">
        <v>0</v>
      </c>
      <c r="O10">
        <v>97.2</v>
      </c>
    </row>
    <row r="11" spans="5:19" x14ac:dyDescent="0.3">
      <c r="L11" t="s">
        <v>525</v>
      </c>
      <c r="M11">
        <f>O11-97.2</f>
        <v>9.7999999999999972</v>
      </c>
      <c r="O11">
        <v>107</v>
      </c>
    </row>
    <row r="12" spans="5:19" x14ac:dyDescent="0.3">
      <c r="L12" t="s">
        <v>526</v>
      </c>
      <c r="M12">
        <f>O12-97.2</f>
        <v>6.2000000000000028</v>
      </c>
      <c r="O12">
        <v>103.4</v>
      </c>
      <c r="Q12" t="s">
        <v>245</v>
      </c>
      <c r="R12" t="s">
        <v>540</v>
      </c>
      <c r="S12" t="s">
        <v>545</v>
      </c>
    </row>
    <row r="13" spans="5:19" x14ac:dyDescent="0.3">
      <c r="L13" t="s">
        <v>527</v>
      </c>
      <c r="M13">
        <f>O13-97.2</f>
        <v>22.899999999999991</v>
      </c>
      <c r="O13">
        <v>120.1</v>
      </c>
      <c r="Q13" s="46"/>
      <c r="R13" t="s">
        <v>544</v>
      </c>
      <c r="S13">
        <v>16</v>
      </c>
    </row>
    <row r="14" spans="5:19" x14ac:dyDescent="0.3">
      <c r="R14" t="s">
        <v>541</v>
      </c>
      <c r="S14">
        <v>12.4</v>
      </c>
    </row>
    <row r="15" spans="5:19" x14ac:dyDescent="0.3">
      <c r="L15" t="s">
        <v>528</v>
      </c>
      <c r="M15" s="62">
        <v>0</v>
      </c>
      <c r="O15">
        <v>93.6</v>
      </c>
      <c r="R15" t="s">
        <v>542</v>
      </c>
      <c r="S15">
        <v>10.3</v>
      </c>
    </row>
    <row r="16" spans="5:19" x14ac:dyDescent="0.3">
      <c r="L16" t="s">
        <v>529</v>
      </c>
      <c r="M16">
        <f>O16-93.6</f>
        <v>6.1000000000000085</v>
      </c>
      <c r="O16">
        <v>99.7</v>
      </c>
      <c r="R16" t="s">
        <v>546</v>
      </c>
      <c r="S16">
        <v>9.8000000000000007</v>
      </c>
    </row>
    <row r="17" spans="4:21" x14ac:dyDescent="0.3">
      <c r="L17" t="s">
        <v>530</v>
      </c>
      <c r="M17">
        <f>O17-93.6</f>
        <v>5.6000000000000085</v>
      </c>
      <c r="O17">
        <v>99.2</v>
      </c>
      <c r="R17" t="s">
        <v>149</v>
      </c>
      <c r="S17">
        <v>51.5</v>
      </c>
      <c r="U17">
        <v>100</v>
      </c>
    </row>
    <row r="18" spans="4:21" x14ac:dyDescent="0.3">
      <c r="L18" t="s">
        <v>531</v>
      </c>
      <c r="M18">
        <f>O18-93.6</f>
        <v>6.2000000000000028</v>
      </c>
      <c r="O18">
        <v>99.8</v>
      </c>
      <c r="U18">
        <f>SUM(S13:S16)</f>
        <v>48.5</v>
      </c>
    </row>
    <row r="19" spans="4:21" x14ac:dyDescent="0.3">
      <c r="L19" t="s">
        <v>532</v>
      </c>
      <c r="M19">
        <f>O19-93.6</f>
        <v>-2.5999999999999943</v>
      </c>
      <c r="O19">
        <v>91</v>
      </c>
      <c r="U19">
        <f>U17-U18</f>
        <v>51.5</v>
      </c>
    </row>
    <row r="27" spans="4:21" x14ac:dyDescent="0.3">
      <c r="D27" s="62" t="s">
        <v>554</v>
      </c>
    </row>
    <row r="28" spans="4:21" x14ac:dyDescent="0.3">
      <c r="D28" s="62" t="s">
        <v>533</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BFFF-37AB-4A2F-8C9D-1E08762FB931}">
  <sheetPr>
    <pageSetUpPr fitToPage="1"/>
  </sheetPr>
  <dimension ref="B2:I88"/>
  <sheetViews>
    <sheetView showGridLines="0" zoomScale="80" zoomScaleNormal="80" zoomScaleSheetLayoutView="80" workbookViewId="0">
      <pane xSplit="2" ySplit="1" topLeftCell="C2" activePane="bottomRight" state="frozen"/>
      <selection pane="topRight" activeCell="C1" sqref="C1"/>
      <selection pane="bottomLeft" activeCell="A2" sqref="A2"/>
      <selection pane="bottomRight" activeCell="B62" sqref="B62"/>
    </sheetView>
  </sheetViews>
  <sheetFormatPr defaultColWidth="12" defaultRowHeight="13.8" x14ac:dyDescent="0.3"/>
  <cols>
    <col min="1" max="1" width="12" style="28"/>
    <col min="2" max="2" width="44.5546875" style="28" customWidth="1"/>
    <col min="3" max="3" width="21.44140625" style="5" customWidth="1"/>
    <col min="4" max="4" width="78.5546875" style="6" customWidth="1"/>
    <col min="5" max="5" width="17.21875" style="36" customWidth="1"/>
    <col min="6" max="16384" width="12" style="28"/>
  </cols>
  <sheetData>
    <row r="2" spans="2:9" ht="16.2" customHeight="1" x14ac:dyDescent="0.3">
      <c r="B2" s="29"/>
      <c r="C2" s="30"/>
      <c r="D2" s="29"/>
      <c r="E2" s="31"/>
    </row>
    <row r="3" spans="2:9" ht="69" x14ac:dyDescent="0.3">
      <c r="B3" s="4" t="s">
        <v>435</v>
      </c>
      <c r="C3" s="34" t="s">
        <v>292</v>
      </c>
      <c r="D3" s="6" t="s">
        <v>387</v>
      </c>
      <c r="E3" s="2"/>
    </row>
    <row r="4" spans="2:9" ht="16.2" customHeight="1" x14ac:dyDescent="0.3">
      <c r="B4" s="1" t="s">
        <v>0</v>
      </c>
      <c r="C4" s="7" t="s">
        <v>1</v>
      </c>
      <c r="D4" s="1" t="s">
        <v>2</v>
      </c>
      <c r="E4" s="8" t="s">
        <v>3</v>
      </c>
      <c r="F4" s="28" t="s">
        <v>324</v>
      </c>
      <c r="H4" s="28" t="s">
        <v>73</v>
      </c>
    </row>
    <row r="5" spans="2:9" s="9" customFormat="1" x14ac:dyDescent="0.3">
      <c r="B5" s="10" t="s">
        <v>21</v>
      </c>
      <c r="C5" s="11"/>
      <c r="D5" s="12"/>
      <c r="E5" s="13"/>
    </row>
    <row r="6" spans="2:9" ht="43.2" x14ac:dyDescent="0.3">
      <c r="B6" s="85" t="s">
        <v>19</v>
      </c>
      <c r="C6" s="118" t="s">
        <v>331</v>
      </c>
      <c r="D6" s="86" t="s">
        <v>323</v>
      </c>
      <c r="E6" s="96"/>
      <c r="F6" s="68"/>
      <c r="H6" s="77" t="s">
        <v>74</v>
      </c>
      <c r="I6" s="68"/>
    </row>
    <row r="7" spans="2:9" x14ac:dyDescent="0.3">
      <c r="B7" s="14" t="s">
        <v>20</v>
      </c>
      <c r="C7" s="15"/>
      <c r="D7" s="16"/>
      <c r="E7" s="20"/>
    </row>
    <row r="8" spans="2:9" x14ac:dyDescent="0.3">
      <c r="B8" s="14" t="s">
        <v>16</v>
      </c>
      <c r="C8" s="15"/>
      <c r="D8" s="16"/>
      <c r="E8" s="20"/>
    </row>
    <row r="9" spans="2:9" x14ac:dyDescent="0.3">
      <c r="B9" s="14" t="s">
        <v>17</v>
      </c>
      <c r="C9" s="15"/>
      <c r="D9" s="16"/>
      <c r="E9" s="20"/>
    </row>
    <row r="10" spans="2:9" x14ac:dyDescent="0.3">
      <c r="B10" s="14" t="s">
        <v>18</v>
      </c>
      <c r="C10" s="15"/>
      <c r="D10" s="16"/>
      <c r="E10" s="20"/>
    </row>
    <row r="11" spans="2:9" s="32" customFormat="1" x14ac:dyDescent="0.3">
      <c r="B11" s="17" t="s">
        <v>5</v>
      </c>
      <c r="C11" s="18"/>
      <c r="D11" s="17"/>
      <c r="E11" s="19">
        <f>SUM(E6:E10)</f>
        <v>0</v>
      </c>
    </row>
    <row r="12" spans="2:9" s="32" customFormat="1" ht="14.4" x14ac:dyDescent="0.3">
      <c r="B12" s="85" t="s">
        <v>19</v>
      </c>
      <c r="C12" s="87"/>
      <c r="D12" s="88"/>
      <c r="E12" s="97"/>
      <c r="F12" s="77"/>
      <c r="G12" s="70"/>
      <c r="H12" s="68"/>
      <c r="I12" s="70"/>
    </row>
    <row r="13" spans="2:9" x14ac:dyDescent="0.3">
      <c r="B13" s="14" t="s">
        <v>20</v>
      </c>
      <c r="C13" s="15"/>
      <c r="D13" s="16"/>
      <c r="E13" s="20"/>
    </row>
    <row r="14" spans="2:9" x14ac:dyDescent="0.3">
      <c r="B14" s="14" t="s">
        <v>16</v>
      </c>
      <c r="C14" s="15"/>
      <c r="D14" s="16"/>
      <c r="E14" s="20"/>
    </row>
    <row r="15" spans="2:9" x14ac:dyDescent="0.3">
      <c r="B15" s="14" t="s">
        <v>17</v>
      </c>
      <c r="C15" s="15"/>
      <c r="D15" s="16"/>
      <c r="E15" s="20"/>
    </row>
    <row r="16" spans="2:9" x14ac:dyDescent="0.3">
      <c r="B16" s="14" t="s">
        <v>18</v>
      </c>
      <c r="C16" s="15"/>
      <c r="D16" s="16"/>
      <c r="E16" s="20"/>
    </row>
    <row r="17" spans="2:5" s="32" customFormat="1" x14ac:dyDescent="0.3">
      <c r="B17" s="17" t="s">
        <v>25</v>
      </c>
      <c r="C17" s="18"/>
      <c r="D17" s="17"/>
      <c r="E17" s="19">
        <f>SUM(E12:E16)</f>
        <v>0</v>
      </c>
    </row>
    <row r="18" spans="2:5" ht="14.4" x14ac:dyDescent="0.3">
      <c r="B18" s="85" t="s">
        <v>19</v>
      </c>
    </row>
    <row r="19" spans="2:5" x14ac:dyDescent="0.3">
      <c r="B19" s="14" t="s">
        <v>20</v>
      </c>
      <c r="C19" s="15"/>
      <c r="D19" s="16"/>
      <c r="E19" s="20"/>
    </row>
    <row r="20" spans="2:5" x14ac:dyDescent="0.3">
      <c r="B20" s="14" t="s">
        <v>16</v>
      </c>
      <c r="C20" s="15"/>
      <c r="D20" s="16"/>
      <c r="E20" s="20"/>
    </row>
    <row r="21" spans="2:5" x14ac:dyDescent="0.3">
      <c r="B21" s="14" t="s">
        <v>17</v>
      </c>
      <c r="C21" s="15"/>
      <c r="D21" s="16"/>
      <c r="E21" s="20"/>
    </row>
    <row r="22" spans="2:5" x14ac:dyDescent="0.3">
      <c r="B22" s="14" t="s">
        <v>18</v>
      </c>
      <c r="C22" s="15"/>
      <c r="D22" s="16"/>
      <c r="E22" s="20"/>
    </row>
    <row r="23" spans="2:5" s="32" customFormat="1" x14ac:dyDescent="0.3">
      <c r="B23" s="17" t="s">
        <v>24</v>
      </c>
      <c r="C23" s="18"/>
      <c r="D23" s="17"/>
      <c r="E23" s="21">
        <f>SUM(E18:E22)</f>
        <v>0</v>
      </c>
    </row>
    <row r="24" spans="2:5" x14ac:dyDescent="0.3">
      <c r="B24" s="14" t="s">
        <v>31</v>
      </c>
      <c r="C24" s="15"/>
      <c r="D24" s="44"/>
      <c r="E24" s="3"/>
    </row>
    <row r="25" spans="2:5" x14ac:dyDescent="0.3">
      <c r="B25" s="14" t="s">
        <v>27</v>
      </c>
      <c r="C25" s="15"/>
      <c r="D25" s="16"/>
      <c r="E25" s="20"/>
    </row>
    <row r="26" spans="2:5" x14ac:dyDescent="0.3">
      <c r="B26" s="14" t="s">
        <v>28</v>
      </c>
      <c r="C26" s="15"/>
      <c r="D26" s="16"/>
      <c r="E26" s="20"/>
    </row>
    <row r="27" spans="2:5" x14ac:dyDescent="0.3">
      <c r="B27" s="14" t="s">
        <v>29</v>
      </c>
      <c r="C27" s="15"/>
      <c r="D27" s="16"/>
      <c r="E27" s="20"/>
    </row>
    <row r="28" spans="2:5" x14ac:dyDescent="0.3">
      <c r="B28" s="14" t="s">
        <v>30</v>
      </c>
      <c r="C28" s="15"/>
      <c r="D28" s="16"/>
      <c r="E28" s="20"/>
    </row>
    <row r="29" spans="2:5" x14ac:dyDescent="0.3">
      <c r="B29" s="17" t="s">
        <v>26</v>
      </c>
      <c r="C29" s="18"/>
      <c r="D29" s="17"/>
      <c r="E29" s="27">
        <f>SUM(E24:E28)</f>
        <v>0</v>
      </c>
    </row>
    <row r="30" spans="2:5" x14ac:dyDescent="0.3">
      <c r="B30" s="6"/>
      <c r="E30" s="33"/>
    </row>
    <row r="31" spans="2:5" s="9" customFormat="1" x14ac:dyDescent="0.3">
      <c r="B31" s="22" t="s">
        <v>6</v>
      </c>
      <c r="C31" s="23"/>
      <c r="D31" s="24"/>
      <c r="E31" s="25"/>
    </row>
    <row r="32" spans="2:5" x14ac:dyDescent="0.3">
      <c r="B32" s="1" t="s">
        <v>7</v>
      </c>
      <c r="C32" s="7" t="s">
        <v>1</v>
      </c>
      <c r="D32" s="1" t="s">
        <v>2</v>
      </c>
      <c r="E32" s="26" t="s">
        <v>4</v>
      </c>
    </row>
    <row r="33" spans="2:9" ht="57.6" x14ac:dyDescent="0.3">
      <c r="B33" s="14" t="s">
        <v>19</v>
      </c>
      <c r="C33" s="147" t="s">
        <v>352</v>
      </c>
      <c r="D33" s="151" t="s">
        <v>346</v>
      </c>
      <c r="E33" s="103">
        <f>((1000*35)/2)</f>
        <v>17500</v>
      </c>
      <c r="F33" s="71" t="s">
        <v>402</v>
      </c>
      <c r="G33" s="70"/>
      <c r="H33" s="139" t="s">
        <v>401</v>
      </c>
      <c r="I33" s="70"/>
    </row>
    <row r="34" spans="2:9" ht="63" customHeight="1" x14ac:dyDescent="0.3">
      <c r="B34" s="14" t="s">
        <v>20</v>
      </c>
      <c r="C34" s="147" t="s">
        <v>352</v>
      </c>
      <c r="D34" s="69" t="s">
        <v>353</v>
      </c>
      <c r="E34" s="103">
        <v>205426</v>
      </c>
      <c r="F34" s="68"/>
      <c r="G34" s="68"/>
      <c r="H34" s="139" t="s">
        <v>351</v>
      </c>
      <c r="I34" s="68"/>
    </row>
    <row r="35" spans="2:9" ht="72" x14ac:dyDescent="0.3">
      <c r="B35" s="14" t="s">
        <v>16</v>
      </c>
      <c r="C35" s="147" t="s">
        <v>352</v>
      </c>
      <c r="D35" s="165" t="s">
        <v>370</v>
      </c>
      <c r="E35" s="103">
        <f>(0.15*20000)*5</f>
        <v>15000</v>
      </c>
      <c r="F35" s="71" t="s">
        <v>371</v>
      </c>
      <c r="G35" s="68"/>
      <c r="H35" s="68" t="s">
        <v>403</v>
      </c>
      <c r="I35" s="68"/>
    </row>
    <row r="36" spans="2:9" x14ac:dyDescent="0.3">
      <c r="B36" s="14" t="s">
        <v>17</v>
      </c>
      <c r="C36" s="15"/>
      <c r="D36" s="16"/>
      <c r="E36" s="20"/>
    </row>
    <row r="37" spans="2:9" s="32" customFormat="1" x14ac:dyDescent="0.3">
      <c r="B37" s="17" t="s">
        <v>8</v>
      </c>
      <c r="C37" s="18"/>
      <c r="D37" s="17"/>
      <c r="E37" s="21">
        <f>SUM(E33:E36)</f>
        <v>237926</v>
      </c>
    </row>
    <row r="38" spans="2:9" x14ac:dyDescent="0.3">
      <c r="B38" s="14" t="s">
        <v>19</v>
      </c>
      <c r="C38" s="15"/>
      <c r="D38" s="16"/>
      <c r="E38" s="20"/>
    </row>
    <row r="39" spans="2:9" x14ac:dyDescent="0.3">
      <c r="B39" s="14" t="s">
        <v>20</v>
      </c>
      <c r="C39" s="15"/>
      <c r="D39" s="16"/>
      <c r="E39" s="20"/>
    </row>
    <row r="40" spans="2:9" x14ac:dyDescent="0.3">
      <c r="B40" s="14" t="s">
        <v>16</v>
      </c>
      <c r="C40" s="15"/>
      <c r="D40" s="16"/>
      <c r="E40" s="20"/>
    </row>
    <row r="41" spans="2:9" x14ac:dyDescent="0.3">
      <c r="B41" s="14" t="s">
        <v>17</v>
      </c>
      <c r="C41" s="15"/>
      <c r="D41" s="16"/>
      <c r="E41" s="20"/>
    </row>
    <row r="42" spans="2:9" x14ac:dyDescent="0.3">
      <c r="B42" s="14" t="s">
        <v>18</v>
      </c>
      <c r="C42" s="15"/>
      <c r="D42" s="16"/>
      <c r="E42" s="20"/>
    </row>
    <row r="43" spans="2:9" s="32" customFormat="1" x14ac:dyDescent="0.3">
      <c r="B43" s="17" t="s">
        <v>22</v>
      </c>
      <c r="C43" s="18"/>
      <c r="D43" s="17"/>
      <c r="E43" s="21">
        <f>SUM(E38:E42)</f>
        <v>0</v>
      </c>
    </row>
    <row r="44" spans="2:9" x14ac:dyDescent="0.3">
      <c r="B44" s="14" t="s">
        <v>19</v>
      </c>
      <c r="C44" s="15"/>
      <c r="D44" s="16"/>
      <c r="E44" s="20"/>
    </row>
    <row r="45" spans="2:9" x14ac:dyDescent="0.3">
      <c r="B45" s="14" t="s">
        <v>20</v>
      </c>
      <c r="C45" s="15"/>
      <c r="D45" s="16"/>
      <c r="E45" s="20"/>
    </row>
    <row r="46" spans="2:9" x14ac:dyDescent="0.3">
      <c r="B46" s="14" t="s">
        <v>16</v>
      </c>
      <c r="C46" s="15"/>
      <c r="D46" s="16"/>
      <c r="E46" s="20"/>
    </row>
    <row r="47" spans="2:9" x14ac:dyDescent="0.3">
      <c r="B47" s="14" t="s">
        <v>17</v>
      </c>
      <c r="C47" s="15"/>
      <c r="D47" s="16"/>
      <c r="E47" s="20"/>
    </row>
    <row r="48" spans="2:9" x14ac:dyDescent="0.3">
      <c r="B48" s="14" t="s">
        <v>18</v>
      </c>
      <c r="C48" s="15"/>
      <c r="D48" s="16"/>
      <c r="E48" s="20"/>
    </row>
    <row r="49" spans="2:9" s="32" customFormat="1" x14ac:dyDescent="0.3">
      <c r="B49" s="17" t="s">
        <v>9</v>
      </c>
      <c r="C49" s="18"/>
      <c r="D49" s="17"/>
      <c r="E49" s="21">
        <f>SUM(E44:E48)</f>
        <v>0</v>
      </c>
    </row>
    <row r="50" spans="2:9" x14ac:dyDescent="0.3">
      <c r="B50" s="14" t="s">
        <v>19</v>
      </c>
      <c r="C50" s="15"/>
      <c r="D50" s="16"/>
      <c r="E50" s="3"/>
    </row>
    <row r="51" spans="2:9" x14ac:dyDescent="0.3">
      <c r="B51" s="14" t="s">
        <v>20</v>
      </c>
      <c r="C51" s="15"/>
      <c r="D51" s="16"/>
      <c r="E51" s="20"/>
    </row>
    <row r="52" spans="2:9" x14ac:dyDescent="0.3">
      <c r="B52" s="14" t="s">
        <v>16</v>
      </c>
      <c r="C52" s="15"/>
      <c r="D52" s="16"/>
      <c r="E52" s="20"/>
    </row>
    <row r="53" spans="2:9" x14ac:dyDescent="0.3">
      <c r="B53" s="14" t="s">
        <v>17</v>
      </c>
      <c r="C53" s="15"/>
      <c r="D53" s="16"/>
      <c r="E53" s="20"/>
    </row>
    <row r="54" spans="2:9" x14ac:dyDescent="0.3">
      <c r="B54" s="14" t="s">
        <v>18</v>
      </c>
      <c r="C54" s="15"/>
      <c r="D54" s="16"/>
      <c r="E54" s="20"/>
    </row>
    <row r="55" spans="2:9" s="32" customFormat="1" x14ac:dyDescent="0.3">
      <c r="B55" s="17" t="s">
        <v>11</v>
      </c>
      <c r="C55" s="18"/>
      <c r="D55" s="17"/>
      <c r="E55" s="27">
        <f>SUM(E50:E54)</f>
        <v>0</v>
      </c>
    </row>
    <row r="56" spans="2:9" ht="57.6" x14ac:dyDescent="0.3">
      <c r="B56" s="14" t="s">
        <v>19</v>
      </c>
      <c r="C56" s="147" t="s">
        <v>331</v>
      </c>
      <c r="D56" s="146" t="s">
        <v>322</v>
      </c>
      <c r="E56" s="103"/>
      <c r="F56" s="68"/>
      <c r="G56" s="68"/>
      <c r="H56" s="139" t="s">
        <v>360</v>
      </c>
      <c r="I56" s="68"/>
    </row>
    <row r="57" spans="2:9" ht="28.8" x14ac:dyDescent="0.3">
      <c r="B57" s="14" t="s">
        <v>20</v>
      </c>
      <c r="C57" s="147" t="s">
        <v>368</v>
      </c>
      <c r="D57" s="150" t="s">
        <v>381</v>
      </c>
      <c r="E57" s="103"/>
      <c r="F57" s="68"/>
      <c r="G57" s="68"/>
      <c r="H57" s="68" t="s">
        <v>361</v>
      </c>
      <c r="I57" s="68"/>
    </row>
    <row r="58" spans="2:9" ht="28.8" x14ac:dyDescent="0.3">
      <c r="B58" s="14" t="s">
        <v>16</v>
      </c>
      <c r="C58" s="147" t="s">
        <v>368</v>
      </c>
      <c r="D58" s="152" t="s">
        <v>362</v>
      </c>
      <c r="E58" s="103"/>
      <c r="F58" s="68"/>
      <c r="G58" s="68"/>
      <c r="H58" s="68" t="s">
        <v>404</v>
      </c>
      <c r="I58" s="68"/>
    </row>
    <row r="59" spans="2:9" ht="72" x14ac:dyDescent="0.3">
      <c r="B59" s="14" t="s">
        <v>17</v>
      </c>
      <c r="C59" s="147" t="s">
        <v>352</v>
      </c>
      <c r="D59" s="166" t="s">
        <v>408</v>
      </c>
      <c r="E59" s="103">
        <f>500*140</f>
        <v>70000</v>
      </c>
      <c r="F59" s="71" t="s">
        <v>410</v>
      </c>
      <c r="G59" s="68"/>
      <c r="H59" s="68" t="s">
        <v>407</v>
      </c>
      <c r="I59" s="68"/>
    </row>
    <row r="60" spans="2:9" ht="43.2" x14ac:dyDescent="0.3">
      <c r="B60" s="14" t="s">
        <v>18</v>
      </c>
      <c r="C60" s="147"/>
      <c r="D60" s="167" t="s">
        <v>563</v>
      </c>
      <c r="E60" s="103" t="s">
        <v>564</v>
      </c>
      <c r="F60" s="68"/>
      <c r="G60" s="68"/>
      <c r="H60" s="68"/>
      <c r="I60" s="68"/>
    </row>
    <row r="61" spans="2:9" ht="43.2" x14ac:dyDescent="0.3">
      <c r="B61" s="14" t="s">
        <v>406</v>
      </c>
      <c r="C61" s="147" t="s">
        <v>368</v>
      </c>
      <c r="D61" s="69" t="s">
        <v>420</v>
      </c>
      <c r="E61" s="20"/>
      <c r="H61" s="28" t="s">
        <v>421</v>
      </c>
    </row>
    <row r="62" spans="2:9" s="32" customFormat="1" x14ac:dyDescent="0.3">
      <c r="B62" s="17" t="s">
        <v>413</v>
      </c>
      <c r="C62" s="18"/>
      <c r="D62" s="17"/>
      <c r="E62" s="27">
        <f>SUM(E56:E61)</f>
        <v>70000</v>
      </c>
    </row>
    <row r="63" spans="2:9" x14ac:dyDescent="0.3">
      <c r="B63" s="6"/>
      <c r="C63" s="131"/>
      <c r="D63" s="132"/>
      <c r="E63" s="133"/>
    </row>
    <row r="64" spans="2:9" ht="15" x14ac:dyDescent="0.3">
      <c r="D64" s="42" t="s">
        <v>12</v>
      </c>
      <c r="E64" s="40">
        <f>E11+E17+E23</f>
        <v>0</v>
      </c>
    </row>
    <row r="65" spans="2:5" ht="15" x14ac:dyDescent="0.3">
      <c r="D65" s="43" t="s">
        <v>13</v>
      </c>
      <c r="E65" s="41">
        <f>E37+E49+E55+E62+E43</f>
        <v>307926</v>
      </c>
    </row>
    <row r="66" spans="2:5" ht="16.2" thickBot="1" x14ac:dyDescent="0.35">
      <c r="D66" s="38" t="s">
        <v>14</v>
      </c>
      <c r="E66" s="39">
        <f>SUM(E64:E65)</f>
        <v>307926</v>
      </c>
    </row>
    <row r="67" spans="2:5" ht="14.4" thickTop="1" x14ac:dyDescent="0.3">
      <c r="B67" s="29" t="s">
        <v>15</v>
      </c>
      <c r="C67" s="34"/>
      <c r="E67" s="35"/>
    </row>
    <row r="68" spans="2:5" x14ac:dyDescent="0.3">
      <c r="B68" s="28" t="s">
        <v>350</v>
      </c>
    </row>
    <row r="69" spans="2:5" x14ac:dyDescent="0.3">
      <c r="B69" s="28" t="s">
        <v>23</v>
      </c>
    </row>
    <row r="71" spans="2:5" x14ac:dyDescent="0.3">
      <c r="B71" s="6" t="s">
        <v>398</v>
      </c>
    </row>
    <row r="72" spans="2:5" x14ac:dyDescent="0.3">
      <c r="B72" s="37"/>
    </row>
    <row r="79" spans="2:5" ht="14.4" x14ac:dyDescent="0.3">
      <c r="B79" s="164" t="s">
        <v>415</v>
      </c>
      <c r="E79" s="163"/>
    </row>
    <row r="80" spans="2:5" x14ac:dyDescent="0.3">
      <c r="B80" s="164" t="s">
        <v>396</v>
      </c>
    </row>
    <row r="81" spans="2:3" x14ac:dyDescent="0.3">
      <c r="B81" s="164" t="s">
        <v>399</v>
      </c>
    </row>
    <row r="82" spans="2:3" x14ac:dyDescent="0.3">
      <c r="B82" s="164" t="s">
        <v>405</v>
      </c>
    </row>
    <row r="83" spans="2:3" x14ac:dyDescent="0.3">
      <c r="B83" s="28" t="s">
        <v>392</v>
      </c>
    </row>
    <row r="84" spans="2:3" x14ac:dyDescent="0.3">
      <c r="B84" s="28" t="s">
        <v>393</v>
      </c>
      <c r="C84" s="121" t="s">
        <v>394</v>
      </c>
    </row>
    <row r="85" spans="2:3" x14ac:dyDescent="0.3">
      <c r="B85" s="28" t="s">
        <v>395</v>
      </c>
    </row>
    <row r="86" spans="2:3" x14ac:dyDescent="0.3">
      <c r="B86" s="28" t="s">
        <v>397</v>
      </c>
    </row>
    <row r="87" spans="2:3" ht="15.6" x14ac:dyDescent="0.3">
      <c r="B87" s="168" t="s">
        <v>416</v>
      </c>
      <c r="C87" s="121" t="s">
        <v>417</v>
      </c>
    </row>
    <row r="88" spans="2:3" x14ac:dyDescent="0.3">
      <c r="B88" s="28" t="s">
        <v>418</v>
      </c>
      <c r="C88" s="121" t="s">
        <v>419</v>
      </c>
    </row>
  </sheetData>
  <hyperlinks>
    <hyperlink ref="H33" r:id="rId1" display="https://www.vedp.org/incentive/major-business-facility-job-tax-credit, Companies may not claim the same jobs for the Major Business Facility Job Tax Credit, the Enterprise Zone Job Creation Grant, the Port of Virginia Economic and Infrastructure Development Grant, the International Trade Facility Tax Credit, or the Green Job Creation Tax Credit. The company must create net, new full-time jobs in excess of 50 when not in a distressed area." xr:uid="{3785CF7B-C960-447E-A744-2A03F2EDB222}"/>
    <hyperlink ref="H34" r:id="rId2" xr:uid="{1DA41778-BA4A-440C-8BEE-C33CB24F1CB9}"/>
    <hyperlink ref="H56" r:id="rId3" xr:uid="{C7BD6027-2097-4218-A961-99D8FF9A6DD6}"/>
  </hyperlinks>
  <pageMargins left="0.45" right="0.45" top="0.75" bottom="0.75" header="0.3" footer="0.3"/>
  <pageSetup scale="41"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2122-8DEE-43A0-8417-A1442326C0C8}">
  <dimension ref="A2:N47"/>
  <sheetViews>
    <sheetView workbookViewId="0">
      <selection activeCell="C33" sqref="C33"/>
    </sheetView>
  </sheetViews>
  <sheetFormatPr defaultRowHeight="14.4" x14ac:dyDescent="0.3"/>
  <cols>
    <col min="1" max="1" width="37.109375" style="46" customWidth="1"/>
    <col min="2" max="2" width="29.88671875" customWidth="1"/>
    <col min="3" max="3" width="27.44140625" customWidth="1"/>
    <col min="4" max="4" width="16.21875" customWidth="1"/>
  </cols>
  <sheetData>
    <row r="2" spans="1:12" x14ac:dyDescent="0.3">
      <c r="B2" t="s">
        <v>32</v>
      </c>
      <c r="C2" s="185" t="s">
        <v>69</v>
      </c>
      <c r="D2" t="s">
        <v>450</v>
      </c>
      <c r="E2" t="s">
        <v>36</v>
      </c>
    </row>
    <row r="3" spans="1:12" x14ac:dyDescent="0.3">
      <c r="A3" s="188" t="s">
        <v>54</v>
      </c>
      <c r="B3" t="s">
        <v>55</v>
      </c>
      <c r="C3" s="185" t="s">
        <v>56</v>
      </c>
    </row>
    <row r="4" spans="1:12" x14ac:dyDescent="0.3">
      <c r="A4" s="188" t="s">
        <v>449</v>
      </c>
      <c r="B4">
        <v>24592</v>
      </c>
      <c r="C4" s="185">
        <v>22602</v>
      </c>
    </row>
    <row r="5" spans="1:12" x14ac:dyDescent="0.3">
      <c r="A5" s="188" t="s">
        <v>33</v>
      </c>
      <c r="B5" t="s">
        <v>35</v>
      </c>
      <c r="C5" t="s">
        <v>34</v>
      </c>
    </row>
    <row r="6" spans="1:12" x14ac:dyDescent="0.3">
      <c r="A6" s="188" t="s">
        <v>47</v>
      </c>
      <c r="B6" t="s">
        <v>58</v>
      </c>
      <c r="C6">
        <v>2.2999999999999998</v>
      </c>
      <c r="D6">
        <v>3.2</v>
      </c>
      <c r="E6" s="48" t="s">
        <v>59</v>
      </c>
      <c r="L6" t="s">
        <v>75</v>
      </c>
    </row>
    <row r="7" spans="1:12" x14ac:dyDescent="0.3">
      <c r="A7" s="188" t="s">
        <v>48</v>
      </c>
      <c r="B7">
        <v>22.9</v>
      </c>
      <c r="C7">
        <v>13.3</v>
      </c>
      <c r="D7">
        <v>10.199999999999999</v>
      </c>
      <c r="E7" t="s">
        <v>60</v>
      </c>
    </row>
    <row r="8" spans="1:12" x14ac:dyDescent="0.3">
      <c r="A8" s="188" t="s">
        <v>439</v>
      </c>
      <c r="B8">
        <v>43557</v>
      </c>
      <c r="C8">
        <v>59016</v>
      </c>
      <c r="E8" s="192" t="s">
        <v>440</v>
      </c>
    </row>
    <row r="9" spans="1:12" x14ac:dyDescent="0.3">
      <c r="A9" s="188" t="s">
        <v>39</v>
      </c>
      <c r="B9">
        <v>6.3</v>
      </c>
      <c r="C9">
        <v>5.3</v>
      </c>
    </row>
    <row r="10" spans="1:12" x14ac:dyDescent="0.3">
      <c r="A10" s="188" t="s">
        <v>38</v>
      </c>
      <c r="B10">
        <v>5.8</v>
      </c>
      <c r="C10">
        <v>5.8</v>
      </c>
    </row>
    <row r="11" spans="1:12" x14ac:dyDescent="0.3">
      <c r="A11" s="188" t="s">
        <v>62</v>
      </c>
      <c r="B11" s="193">
        <v>24252</v>
      </c>
      <c r="C11" s="49">
        <v>33908</v>
      </c>
      <c r="D11" s="49">
        <v>43267</v>
      </c>
    </row>
    <row r="12" spans="1:12" x14ac:dyDescent="0.3">
      <c r="A12" s="188" t="s">
        <v>61</v>
      </c>
      <c r="B12" s="193">
        <v>45408</v>
      </c>
      <c r="C12" s="49">
        <v>61321</v>
      </c>
      <c r="D12" s="193">
        <v>80615</v>
      </c>
      <c r="H12" t="s">
        <v>41</v>
      </c>
    </row>
    <row r="13" spans="1:12" x14ac:dyDescent="0.3">
      <c r="A13" s="188" t="s">
        <v>40</v>
      </c>
      <c r="B13" t="s">
        <v>453</v>
      </c>
      <c r="C13" t="s">
        <v>452</v>
      </c>
      <c r="H13" t="s">
        <v>43</v>
      </c>
    </row>
    <row r="14" spans="1:12" ht="57.6" x14ac:dyDescent="0.3">
      <c r="A14" s="188" t="s">
        <v>42</v>
      </c>
      <c r="B14" s="46" t="s">
        <v>44</v>
      </c>
      <c r="C14" s="46" t="s">
        <v>45</v>
      </c>
      <c r="D14" s="46" t="s">
        <v>46</v>
      </c>
      <c r="E14" t="s">
        <v>37</v>
      </c>
    </row>
    <row r="15" spans="1:12" ht="28.8" x14ac:dyDescent="0.3">
      <c r="A15" s="189" t="s">
        <v>96</v>
      </c>
      <c r="B15">
        <v>29.09</v>
      </c>
      <c r="C15" s="186">
        <v>30.38</v>
      </c>
      <c r="E15" t="s">
        <v>49</v>
      </c>
    </row>
    <row r="16" spans="1:12" x14ac:dyDescent="0.3">
      <c r="A16" s="188" t="s">
        <v>50</v>
      </c>
      <c r="B16">
        <v>1.84</v>
      </c>
      <c r="C16">
        <v>1.56</v>
      </c>
      <c r="E16" t="s">
        <v>49</v>
      </c>
      <c r="K16" t="s">
        <v>57</v>
      </c>
    </row>
    <row r="17" spans="1:14" x14ac:dyDescent="0.3">
      <c r="A17" s="189" t="s">
        <v>95</v>
      </c>
      <c r="B17" s="187">
        <v>16.95</v>
      </c>
      <c r="C17">
        <v>15.34</v>
      </c>
    </row>
    <row r="18" spans="1:14" x14ac:dyDescent="0.3">
      <c r="A18" s="188" t="s">
        <v>97</v>
      </c>
      <c r="B18">
        <v>0.98</v>
      </c>
      <c r="C18">
        <v>1.05</v>
      </c>
    </row>
    <row r="19" spans="1:14" x14ac:dyDescent="0.3">
      <c r="A19" s="189" t="s">
        <v>140</v>
      </c>
      <c r="B19" s="187">
        <v>26.63</v>
      </c>
      <c r="C19">
        <v>20.75</v>
      </c>
      <c r="D19">
        <v>23.01</v>
      </c>
      <c r="E19" t="s">
        <v>139</v>
      </c>
      <c r="M19" t="s">
        <v>552</v>
      </c>
      <c r="N19" t="s">
        <v>552</v>
      </c>
    </row>
    <row r="20" spans="1:14" x14ac:dyDescent="0.3">
      <c r="A20" s="188" t="s">
        <v>98</v>
      </c>
      <c r="M20" t="s">
        <v>244</v>
      </c>
      <c r="N20" t="s">
        <v>245</v>
      </c>
    </row>
    <row r="21" spans="1:14" x14ac:dyDescent="0.3">
      <c r="A21" s="189" t="s">
        <v>102</v>
      </c>
      <c r="B21">
        <v>13.25</v>
      </c>
      <c r="C21" s="187">
        <v>16.03</v>
      </c>
      <c r="L21" t="s">
        <v>548</v>
      </c>
      <c r="M21">
        <v>31.38</v>
      </c>
      <c r="N21">
        <v>31.71</v>
      </c>
    </row>
    <row r="22" spans="1:14" x14ac:dyDescent="0.3">
      <c r="A22" s="188" t="s">
        <v>101</v>
      </c>
      <c r="B22">
        <v>0.56999999999999995</v>
      </c>
      <c r="C22">
        <v>0.55000000000000004</v>
      </c>
      <c r="L22" t="s">
        <v>549</v>
      </c>
      <c r="M22">
        <v>16.690000000000001</v>
      </c>
      <c r="N22">
        <v>17.05</v>
      </c>
    </row>
    <row r="23" spans="1:14" ht="28.8" x14ac:dyDescent="0.3">
      <c r="A23" s="190" t="s">
        <v>100</v>
      </c>
      <c r="B23">
        <v>13.92</v>
      </c>
      <c r="C23">
        <v>22.27</v>
      </c>
      <c r="E23" t="s">
        <v>49</v>
      </c>
      <c r="L23" t="s">
        <v>550</v>
      </c>
      <c r="M23">
        <v>26.63</v>
      </c>
      <c r="N23">
        <v>20.75</v>
      </c>
    </row>
    <row r="24" spans="1:14" x14ac:dyDescent="0.3">
      <c r="A24" s="188" t="s">
        <v>51</v>
      </c>
      <c r="B24">
        <v>1.6</v>
      </c>
      <c r="C24">
        <v>3.32</v>
      </c>
      <c r="E24" t="s">
        <v>49</v>
      </c>
      <c r="L24" t="s">
        <v>551</v>
      </c>
      <c r="M24">
        <v>13.25</v>
      </c>
      <c r="N24">
        <v>16.03</v>
      </c>
    </row>
    <row r="25" spans="1:14" x14ac:dyDescent="0.3">
      <c r="A25" s="188" t="s">
        <v>52</v>
      </c>
      <c r="B25">
        <v>13.56</v>
      </c>
      <c r="C25">
        <v>17.32</v>
      </c>
      <c r="E25" t="s">
        <v>49</v>
      </c>
    </row>
    <row r="26" spans="1:14" ht="43.8" thickBot="1" x14ac:dyDescent="0.35">
      <c r="A26" s="190" t="s">
        <v>99</v>
      </c>
      <c r="B26" t="s">
        <v>70</v>
      </c>
      <c r="C26">
        <v>18.45</v>
      </c>
    </row>
    <row r="27" spans="1:14" ht="29.4" thickBot="1" x14ac:dyDescent="0.35">
      <c r="A27" s="191" t="s">
        <v>71</v>
      </c>
      <c r="B27">
        <v>17.18</v>
      </c>
      <c r="C27" s="194">
        <v>22.04</v>
      </c>
      <c r="E27" t="s">
        <v>72</v>
      </c>
    </row>
    <row r="28" spans="1:14" x14ac:dyDescent="0.3">
      <c r="A28" s="188" t="s">
        <v>53</v>
      </c>
      <c r="B28">
        <v>3.25</v>
      </c>
      <c r="C28" s="195">
        <v>1.73</v>
      </c>
      <c r="E28" t="s">
        <v>49</v>
      </c>
    </row>
    <row r="29" spans="1:14" x14ac:dyDescent="0.3">
      <c r="A29" s="188" t="s">
        <v>63</v>
      </c>
      <c r="B29" s="196">
        <v>0.47899999999999998</v>
      </c>
      <c r="C29">
        <v>68.5</v>
      </c>
      <c r="D29">
        <v>64.099999999999994</v>
      </c>
    </row>
    <row r="30" spans="1:14" x14ac:dyDescent="0.3">
      <c r="A30" s="188" t="s">
        <v>64</v>
      </c>
      <c r="B30">
        <v>14.1</v>
      </c>
      <c r="C30">
        <v>23</v>
      </c>
      <c r="D30">
        <v>28.2</v>
      </c>
    </row>
    <row r="31" spans="1:14" x14ac:dyDescent="0.3">
      <c r="A31" s="188" t="s">
        <v>68</v>
      </c>
      <c r="B31">
        <v>84</v>
      </c>
      <c r="C31">
        <v>87</v>
      </c>
      <c r="D31">
        <v>90.8</v>
      </c>
    </row>
    <row r="32" spans="1:14" x14ac:dyDescent="0.3">
      <c r="A32" s="188" t="s">
        <v>65</v>
      </c>
      <c r="B32">
        <v>7932</v>
      </c>
      <c r="C32">
        <v>28136</v>
      </c>
      <c r="D32" s="197">
        <v>8683619</v>
      </c>
      <c r="E32" t="s">
        <v>66</v>
      </c>
    </row>
    <row r="33" spans="1:4" x14ac:dyDescent="0.3">
      <c r="A33" s="188" t="s">
        <v>67</v>
      </c>
      <c r="B33">
        <v>17.600000000000001</v>
      </c>
      <c r="C33">
        <v>33.700000000000003</v>
      </c>
      <c r="D33">
        <v>40.299999999999997</v>
      </c>
    </row>
    <row r="34" spans="1:4" x14ac:dyDescent="0.3">
      <c r="A34" s="188" t="s">
        <v>202</v>
      </c>
    </row>
    <row r="35" spans="1:4" x14ac:dyDescent="0.3">
      <c r="A35" s="188" t="s">
        <v>451</v>
      </c>
      <c r="B35" t="s">
        <v>171</v>
      </c>
    </row>
    <row r="36" spans="1:4" x14ac:dyDescent="0.3">
      <c r="A36" s="188" t="s">
        <v>203</v>
      </c>
      <c r="B36" t="s">
        <v>204</v>
      </c>
      <c r="C36" t="s">
        <v>207</v>
      </c>
    </row>
    <row r="37" spans="1:4" x14ac:dyDescent="0.3">
      <c r="A37" s="188"/>
      <c r="B37" t="s">
        <v>205</v>
      </c>
      <c r="C37" t="s">
        <v>206</v>
      </c>
    </row>
    <row r="38" spans="1:4" ht="28.8" x14ac:dyDescent="0.3">
      <c r="A38" s="188" t="s">
        <v>332</v>
      </c>
      <c r="B38" t="s">
        <v>333</v>
      </c>
    </row>
    <row r="39" spans="1:4" x14ac:dyDescent="0.3">
      <c r="A39" s="188" t="s">
        <v>65</v>
      </c>
      <c r="B39">
        <v>8008</v>
      </c>
      <c r="C39">
        <v>28136</v>
      </c>
    </row>
    <row r="40" spans="1:4" ht="28.8" x14ac:dyDescent="0.3">
      <c r="A40" s="165" t="s">
        <v>438</v>
      </c>
      <c r="B40" s="175">
        <v>124907245</v>
      </c>
      <c r="C40" s="175">
        <v>128363211</v>
      </c>
    </row>
    <row r="41" spans="1:4" x14ac:dyDescent="0.3">
      <c r="A41" t="s">
        <v>473</v>
      </c>
      <c r="B41" s="175">
        <v>23668399</v>
      </c>
      <c r="C41" s="175">
        <v>32482065</v>
      </c>
    </row>
    <row r="42" spans="1:4" x14ac:dyDescent="0.3">
      <c r="A42" t="s">
        <v>474</v>
      </c>
      <c r="B42" s="175">
        <v>44346119</v>
      </c>
      <c r="C42" s="175">
        <v>74124905</v>
      </c>
    </row>
    <row r="43" spans="1:4" x14ac:dyDescent="0.3">
      <c r="A43" s="46" t="s">
        <v>33</v>
      </c>
      <c r="B43" t="s">
        <v>539</v>
      </c>
      <c r="C43" t="s">
        <v>538</v>
      </c>
    </row>
    <row r="47" spans="1:4" x14ac:dyDescent="0.3">
      <c r="B47" t="s">
        <v>555</v>
      </c>
    </row>
  </sheetData>
  <hyperlinks>
    <hyperlink ref="A23" r:id="rId1" display="https://www.bls.gov/oes/current/oes519111.htm" xr:uid="{C1AB4D19-E629-4F6D-AD7B-2E82E10665A8}"/>
    <hyperlink ref="A26" r:id="rId2" display="https://www.bls.gov/oes/current/oes519023.htm" xr:uid="{78F0534F-B089-4BDB-A955-24013A1FEA42}"/>
    <hyperlink ref="A27" r:id="rId3" display="https://www.bls.gov/oes/current/oes519061.htm" xr:uid="{084A38C6-D6BB-486C-8EB5-9D7D7E9B4C73}"/>
    <hyperlink ref="E6" r:id="rId4" xr:uid="{BD981F49-1501-47CD-AE4C-BD9A2C72665B}"/>
  </hyperlinks>
  <pageMargins left="0.7" right="0.7" top="0.75" bottom="0.75" header="0.3" footer="0.3"/>
  <pageSetup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7BA9-9C34-4C74-8124-466BC0EFEC9B}">
  <dimension ref="A1:Q26"/>
  <sheetViews>
    <sheetView workbookViewId="0">
      <selection activeCell="G11" sqref="G11"/>
    </sheetView>
  </sheetViews>
  <sheetFormatPr defaultRowHeight="14.4" x14ac:dyDescent="0.3"/>
  <cols>
    <col min="1" max="1" width="18.33203125" customWidth="1"/>
    <col min="2" max="2" width="10.77734375" customWidth="1"/>
    <col min="3" max="3" width="13" customWidth="1"/>
    <col min="4" max="4" width="13.109375" customWidth="1"/>
    <col min="5" max="5" width="13.21875" customWidth="1"/>
    <col min="6" max="6" width="12.88671875" customWidth="1"/>
    <col min="7" max="7" width="14.88671875" customWidth="1"/>
    <col min="12" max="12" width="13.5546875" customWidth="1"/>
    <col min="13" max="13" width="10.33203125" bestFit="1" customWidth="1"/>
    <col min="14" max="16" width="11.33203125" bestFit="1" customWidth="1"/>
  </cols>
  <sheetData>
    <row r="1" spans="1:16" x14ac:dyDescent="0.3">
      <c r="H1" t="s">
        <v>124</v>
      </c>
    </row>
    <row r="2" spans="1:16" x14ac:dyDescent="0.3">
      <c r="H2" t="s">
        <v>76</v>
      </c>
      <c r="I2" t="s">
        <v>125</v>
      </c>
    </row>
    <row r="3" spans="1:16" x14ac:dyDescent="0.3">
      <c r="A3" t="s">
        <v>81</v>
      </c>
      <c r="C3" t="s">
        <v>76</v>
      </c>
      <c r="D3" t="s">
        <v>77</v>
      </c>
      <c r="E3" t="s">
        <v>78</v>
      </c>
      <c r="F3" t="s">
        <v>79</v>
      </c>
      <c r="G3" t="s">
        <v>80</v>
      </c>
      <c r="H3" t="s">
        <v>76</v>
      </c>
      <c r="I3" t="s">
        <v>126</v>
      </c>
      <c r="K3" t="s">
        <v>82</v>
      </c>
      <c r="L3" t="s">
        <v>76</v>
      </c>
      <c r="M3" t="s">
        <v>77</v>
      </c>
      <c r="N3" t="s">
        <v>78</v>
      </c>
      <c r="O3" t="s">
        <v>79</v>
      </c>
      <c r="P3" t="s">
        <v>80</v>
      </c>
    </row>
    <row r="4" spans="1:16" ht="55.2" x14ac:dyDescent="0.3">
      <c r="A4" s="51" t="s">
        <v>83</v>
      </c>
      <c r="C4" s="50">
        <v>8000000</v>
      </c>
      <c r="D4" s="50">
        <v>4000000</v>
      </c>
      <c r="E4" s="50">
        <v>1000000</v>
      </c>
      <c r="F4" s="50">
        <v>1000000</v>
      </c>
      <c r="G4" s="50">
        <v>0</v>
      </c>
      <c r="H4" s="50" t="s">
        <v>76</v>
      </c>
      <c r="I4" s="60" t="s">
        <v>127</v>
      </c>
      <c r="L4">
        <v>0</v>
      </c>
      <c r="M4">
        <v>19000000</v>
      </c>
      <c r="N4">
        <v>42000000</v>
      </c>
      <c r="O4">
        <f>N4*1.1</f>
        <v>46200000.000000007</v>
      </c>
      <c r="P4">
        <f>O4*1.1</f>
        <v>50820000.000000015</v>
      </c>
    </row>
    <row r="5" spans="1:16" ht="41.4" x14ac:dyDescent="0.3">
      <c r="A5" s="52" t="s">
        <v>84</v>
      </c>
      <c r="C5" s="50">
        <v>500000</v>
      </c>
      <c r="D5" s="50">
        <v>500000</v>
      </c>
      <c r="E5" s="50">
        <v>200000</v>
      </c>
      <c r="F5" s="50">
        <v>200000</v>
      </c>
      <c r="G5" s="50">
        <v>0</v>
      </c>
      <c r="H5" s="50" t="s">
        <v>76</v>
      </c>
      <c r="I5" s="60" t="s">
        <v>129</v>
      </c>
      <c r="K5" t="s">
        <v>311</v>
      </c>
    </row>
    <row r="6" spans="1:16" x14ac:dyDescent="0.3">
      <c r="A6" s="46" t="s">
        <v>109</v>
      </c>
      <c r="C6" s="49">
        <f>Labor!L11</f>
        <v>2495557.5</v>
      </c>
      <c r="D6" s="49">
        <f>Labor!M11</f>
        <v>6822892.5</v>
      </c>
      <c r="E6" s="49">
        <f>Labor!N11</f>
        <v>8654670</v>
      </c>
      <c r="F6" s="49">
        <f>Labor!O11</f>
        <v>8929117.5</v>
      </c>
      <c r="G6" s="49">
        <f>Labor!P11</f>
        <v>8929117.5</v>
      </c>
      <c r="K6" t="s">
        <v>311</v>
      </c>
    </row>
    <row r="7" spans="1:16" x14ac:dyDescent="0.3">
      <c r="A7" s="46" t="s">
        <v>110</v>
      </c>
      <c r="B7" t="s">
        <v>121</v>
      </c>
      <c r="K7" t="s">
        <v>311</v>
      </c>
    </row>
    <row r="8" spans="1:16" x14ac:dyDescent="0.3">
      <c r="A8" s="46" t="s">
        <v>119</v>
      </c>
      <c r="B8" t="s">
        <v>120</v>
      </c>
      <c r="K8" t="s">
        <v>311</v>
      </c>
    </row>
    <row r="9" spans="1:16" x14ac:dyDescent="0.3">
      <c r="A9" s="46" t="s">
        <v>115</v>
      </c>
      <c r="B9" t="s">
        <v>122</v>
      </c>
      <c r="K9" t="s">
        <v>311</v>
      </c>
    </row>
    <row r="10" spans="1:16" x14ac:dyDescent="0.3">
      <c r="A10" s="46" t="s">
        <v>118</v>
      </c>
      <c r="K10" t="s">
        <v>311</v>
      </c>
    </row>
    <row r="11" spans="1:16" ht="28.8" x14ac:dyDescent="0.3">
      <c r="A11" s="46" t="s">
        <v>228</v>
      </c>
    </row>
    <row r="12" spans="1:16" x14ac:dyDescent="0.3">
      <c r="A12" s="46" t="s">
        <v>112</v>
      </c>
      <c r="K12" t="s">
        <v>93</v>
      </c>
      <c r="L12" t="s">
        <v>76</v>
      </c>
      <c r="M12" t="s">
        <v>77</v>
      </c>
      <c r="N12" t="s">
        <v>78</v>
      </c>
      <c r="O12" t="s">
        <v>79</v>
      </c>
      <c r="P12" t="s">
        <v>80</v>
      </c>
    </row>
    <row r="13" spans="1:16" ht="28.8" x14ac:dyDescent="0.3">
      <c r="A13" s="46" t="s">
        <v>275</v>
      </c>
      <c r="L13" s="49">
        <f>L4-C26</f>
        <v>-11015557.5</v>
      </c>
      <c r="M13" s="49">
        <f>M4-D26</f>
        <v>1957107.5</v>
      </c>
      <c r="N13" s="49">
        <f>N4-E26</f>
        <v>19525330</v>
      </c>
      <c r="O13" s="49">
        <f>O4-F26</f>
        <v>22190882.500000007</v>
      </c>
      <c r="P13" s="49">
        <f>P4-G26</f>
        <v>26624882.500000011</v>
      </c>
    </row>
    <row r="14" spans="1:16" x14ac:dyDescent="0.3">
      <c r="A14" s="46" t="s">
        <v>113</v>
      </c>
    </row>
    <row r="15" spans="1:16" ht="28.8" x14ac:dyDescent="0.3">
      <c r="A15" s="46" t="s">
        <v>225</v>
      </c>
    </row>
    <row r="16" spans="1:16" x14ac:dyDescent="0.3">
      <c r="A16" s="46" t="s">
        <v>114</v>
      </c>
    </row>
    <row r="17" spans="1:17" x14ac:dyDescent="0.3">
      <c r="A17" s="46" t="s">
        <v>217</v>
      </c>
    </row>
    <row r="18" spans="1:17" x14ac:dyDescent="0.3">
      <c r="A18" s="46" t="s">
        <v>116</v>
      </c>
      <c r="C18" s="59">
        <v>20000</v>
      </c>
      <c r="D18" s="59">
        <v>20000</v>
      </c>
      <c r="E18" s="59">
        <v>20000</v>
      </c>
      <c r="F18" s="59">
        <v>20000</v>
      </c>
      <c r="G18" s="59">
        <v>20000</v>
      </c>
      <c r="K18" s="56"/>
      <c r="L18" s="57"/>
      <c r="M18" s="57"/>
      <c r="N18" s="57"/>
      <c r="O18" s="57"/>
      <c r="P18" s="57"/>
      <c r="Q18" s="57"/>
    </row>
    <row r="19" spans="1:17" x14ac:dyDescent="0.3">
      <c r="A19" s="46" t="s">
        <v>117</v>
      </c>
      <c r="C19">
        <f>0.3*L4</f>
        <v>0</v>
      </c>
      <c r="D19">
        <f t="shared" ref="D19:G19" si="0">0.3*M4</f>
        <v>5700000</v>
      </c>
      <c r="E19">
        <f t="shared" si="0"/>
        <v>12600000</v>
      </c>
      <c r="F19">
        <f t="shared" si="0"/>
        <v>13860000.000000002</v>
      </c>
      <c r="G19">
        <f t="shared" si="0"/>
        <v>15246000.000000004</v>
      </c>
      <c r="K19" s="52"/>
      <c r="L19" s="50"/>
      <c r="M19" s="50"/>
      <c r="N19" s="50"/>
      <c r="O19" s="50"/>
      <c r="P19" s="50"/>
      <c r="Q19" s="58"/>
    </row>
    <row r="20" spans="1:17" x14ac:dyDescent="0.3">
      <c r="K20" s="52"/>
      <c r="L20" s="50"/>
      <c r="M20" s="50"/>
      <c r="N20" s="50"/>
      <c r="O20" s="50"/>
      <c r="P20" s="50"/>
      <c r="Q20" s="58"/>
    </row>
    <row r="21" spans="1:17" x14ac:dyDescent="0.3">
      <c r="K21" s="45"/>
    </row>
    <row r="22" spans="1:17" x14ac:dyDescent="0.3">
      <c r="F22" t="s">
        <v>128</v>
      </c>
    </row>
    <row r="23" spans="1:17" x14ac:dyDescent="0.3">
      <c r="F23" t="s">
        <v>131</v>
      </c>
    </row>
    <row r="26" spans="1:17" x14ac:dyDescent="0.3">
      <c r="A26" t="s">
        <v>94</v>
      </c>
      <c r="C26" s="49">
        <f>SUM(C4:C25)</f>
        <v>11015557.5</v>
      </c>
      <c r="D26" s="49">
        <f t="shared" ref="D26:G26" si="1">SUM(D4:D25)</f>
        <v>17042892.5</v>
      </c>
      <c r="E26" s="49">
        <f t="shared" si="1"/>
        <v>22474670</v>
      </c>
      <c r="F26" s="49">
        <f t="shared" si="1"/>
        <v>24009117.5</v>
      </c>
      <c r="G26" s="49">
        <f t="shared" si="1"/>
        <v>24195117.500000004</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DF29-1C9F-4A6A-A9ED-088E9C55F9CB}">
  <dimension ref="A1:Q34"/>
  <sheetViews>
    <sheetView topLeftCell="B4" workbookViewId="0">
      <selection activeCell="I22" sqref="I22"/>
    </sheetView>
  </sheetViews>
  <sheetFormatPr defaultRowHeight="14.4" x14ac:dyDescent="0.3"/>
  <cols>
    <col min="1" max="1" width="16.44140625" customWidth="1"/>
    <col min="2" max="2" width="12.88671875" customWidth="1"/>
    <col min="3" max="3" width="12.33203125" customWidth="1"/>
    <col min="4" max="4" width="13" customWidth="1"/>
    <col min="5" max="5" width="11.6640625" customWidth="1"/>
    <col min="6" max="6" width="11.77734375" customWidth="1"/>
    <col min="7" max="7" width="13.5546875" customWidth="1"/>
    <col min="8" max="8" width="12.44140625" bestFit="1" customWidth="1"/>
    <col min="9" max="9" width="15.21875" customWidth="1"/>
    <col min="10" max="10" width="12.6640625" customWidth="1"/>
    <col min="11" max="11" width="10.77734375" customWidth="1"/>
    <col min="12" max="12" width="12.6640625" customWidth="1"/>
    <col min="13" max="13" width="18.109375" customWidth="1"/>
    <col min="14" max="14" width="12.77734375" customWidth="1"/>
    <col min="15" max="15" width="13.109375" customWidth="1"/>
    <col min="16" max="16" width="14.33203125" customWidth="1"/>
  </cols>
  <sheetData>
    <row r="1" spans="1:15" x14ac:dyDescent="0.3">
      <c r="A1" t="s">
        <v>432</v>
      </c>
      <c r="H1" t="s">
        <v>124</v>
      </c>
    </row>
    <row r="2" spans="1:15" x14ac:dyDescent="0.3">
      <c r="H2" t="s">
        <v>76</v>
      </c>
      <c r="I2" t="s">
        <v>125</v>
      </c>
    </row>
    <row r="3" spans="1:15" x14ac:dyDescent="0.3">
      <c r="A3" t="s">
        <v>81</v>
      </c>
      <c r="C3" t="s">
        <v>76</v>
      </c>
      <c r="D3" t="s">
        <v>77</v>
      </c>
      <c r="E3" t="s">
        <v>78</v>
      </c>
      <c r="F3" t="s">
        <v>79</v>
      </c>
      <c r="G3" t="s">
        <v>80</v>
      </c>
      <c r="H3" t="s">
        <v>76</v>
      </c>
      <c r="I3" t="s">
        <v>126</v>
      </c>
    </row>
    <row r="4" spans="1:15" x14ac:dyDescent="0.3">
      <c r="A4" t="s">
        <v>83</v>
      </c>
      <c r="C4" s="49">
        <v>8000000</v>
      </c>
      <c r="D4" s="49">
        <v>4000000</v>
      </c>
      <c r="E4" s="49">
        <v>1000000</v>
      </c>
      <c r="F4" s="49">
        <v>1000000</v>
      </c>
      <c r="G4" s="49">
        <v>0</v>
      </c>
      <c r="H4" s="49" t="s">
        <v>76</v>
      </c>
      <c r="I4" s="49" t="s">
        <v>127</v>
      </c>
    </row>
    <row r="5" spans="1:15" x14ac:dyDescent="0.3">
      <c r="A5" t="s">
        <v>84</v>
      </c>
      <c r="C5" s="49">
        <v>500000</v>
      </c>
      <c r="D5" s="49">
        <v>500000</v>
      </c>
      <c r="E5" s="49">
        <v>200000</v>
      </c>
      <c r="F5" s="49">
        <v>200000</v>
      </c>
      <c r="G5" s="49">
        <v>0</v>
      </c>
      <c r="H5" s="49" t="s">
        <v>76</v>
      </c>
      <c r="I5" s="49" t="s">
        <v>129</v>
      </c>
    </row>
    <row r="6" spans="1:15" x14ac:dyDescent="0.3">
      <c r="A6" t="s">
        <v>471</v>
      </c>
      <c r="C6" s="49">
        <v>535500</v>
      </c>
      <c r="D6" s="49">
        <v>283500</v>
      </c>
      <c r="E6" s="49">
        <v>75600</v>
      </c>
      <c r="F6" s="49">
        <v>75600</v>
      </c>
      <c r="G6" s="49">
        <v>0</v>
      </c>
    </row>
    <row r="7" spans="1:15" x14ac:dyDescent="0.3">
      <c r="A7" t="s">
        <v>455</v>
      </c>
      <c r="C7" s="49">
        <v>2495557.5</v>
      </c>
      <c r="D7" s="49">
        <v>6822892.5</v>
      </c>
      <c r="E7" s="49">
        <v>8654670</v>
      </c>
      <c r="F7" s="49">
        <v>8929117.5</v>
      </c>
      <c r="G7" s="49">
        <v>8929117.5</v>
      </c>
      <c r="J7" t="s">
        <v>76</v>
      </c>
      <c r="K7" t="s">
        <v>77</v>
      </c>
      <c r="L7" t="s">
        <v>78</v>
      </c>
      <c r="M7" t="s">
        <v>79</v>
      </c>
      <c r="N7" t="s">
        <v>80</v>
      </c>
    </row>
    <row r="8" spans="1:15" x14ac:dyDescent="0.3">
      <c r="A8" t="s">
        <v>110</v>
      </c>
      <c r="B8" t="s">
        <v>121</v>
      </c>
      <c r="C8" s="47">
        <f>'Utility Ins IncTax'!C4</f>
        <v>33228</v>
      </c>
      <c r="D8" s="47">
        <f>'Utility Ins IncTax'!D4</f>
        <v>44303.999999999993</v>
      </c>
      <c r="E8" s="47">
        <f>'Utility Ins IncTax'!E4</f>
        <v>44303.999999999993</v>
      </c>
      <c r="F8" s="47">
        <f>'Utility Ins IncTax'!F4</f>
        <v>44303.999999999993</v>
      </c>
      <c r="G8" s="47">
        <f>'Utility Ins IncTax'!G4</f>
        <v>44303.999999999993</v>
      </c>
      <c r="I8" t="s">
        <v>82</v>
      </c>
      <c r="J8">
        <v>0</v>
      </c>
      <c r="K8">
        <v>19000000</v>
      </c>
      <c r="L8">
        <v>42000000</v>
      </c>
      <c r="M8">
        <f>L8*1.1</f>
        <v>46200000.000000007</v>
      </c>
      <c r="N8">
        <f>M8*1.1</f>
        <v>50820000.000000015</v>
      </c>
      <c r="O8">
        <f>SUM(J8:N8)</f>
        <v>158020000</v>
      </c>
    </row>
    <row r="9" spans="1:15" x14ac:dyDescent="0.3">
      <c r="A9" t="s">
        <v>481</v>
      </c>
      <c r="C9" s="47">
        <v>0</v>
      </c>
      <c r="D9" s="47">
        <v>8675.7990867579902</v>
      </c>
      <c r="E9" s="47">
        <v>19178.082191780821</v>
      </c>
      <c r="F9" s="47">
        <v>21095.890410958906</v>
      </c>
      <c r="G9" s="47">
        <v>23205.479452054802</v>
      </c>
      <c r="I9" t="s">
        <v>409</v>
      </c>
      <c r="J9">
        <f>2017366/5</f>
        <v>403473.2</v>
      </c>
      <c r="K9">
        <f t="shared" ref="K9:N9" si="0">2017366/5</f>
        <v>403473.2</v>
      </c>
      <c r="L9">
        <f t="shared" si="0"/>
        <v>403473.2</v>
      </c>
      <c r="M9">
        <f t="shared" si="0"/>
        <v>403473.2</v>
      </c>
      <c r="N9">
        <f t="shared" si="0"/>
        <v>403473.2</v>
      </c>
    </row>
    <row r="10" spans="1:15" x14ac:dyDescent="0.3">
      <c r="A10" t="s">
        <v>306</v>
      </c>
      <c r="C10">
        <v>2070</v>
      </c>
      <c r="D10">
        <v>2760</v>
      </c>
      <c r="E10">
        <v>2760</v>
      </c>
      <c r="F10">
        <v>2760</v>
      </c>
      <c r="G10">
        <v>2760</v>
      </c>
      <c r="I10" t="s">
        <v>386</v>
      </c>
      <c r="J10">
        <f>SUM(J8:J9)</f>
        <v>403473.2</v>
      </c>
      <c r="K10">
        <f>SUM(K8:K9)</f>
        <v>19403473.199999999</v>
      </c>
      <c r="L10">
        <f>SUM(L8:L9)</f>
        <v>42403473.200000003</v>
      </c>
      <c r="M10">
        <f>SUM(M8:M9)</f>
        <v>46603473.20000001</v>
      </c>
      <c r="N10">
        <f>SUM(N8:N9)</f>
        <v>51223473.200000018</v>
      </c>
    </row>
    <row r="11" spans="1:15" x14ac:dyDescent="0.3">
      <c r="A11" t="s">
        <v>111</v>
      </c>
      <c r="B11" t="s">
        <v>120</v>
      </c>
      <c r="C11">
        <v>7254.375</v>
      </c>
      <c r="D11">
        <v>9672.5</v>
      </c>
      <c r="E11">
        <v>9672.5</v>
      </c>
      <c r="F11">
        <v>9672.5</v>
      </c>
      <c r="G11">
        <v>9672.5</v>
      </c>
    </row>
    <row r="12" spans="1:15" x14ac:dyDescent="0.3">
      <c r="A12" t="s">
        <v>466</v>
      </c>
      <c r="C12">
        <f>D12/2</f>
        <v>1586</v>
      </c>
      <c r="D12">
        <v>3172</v>
      </c>
      <c r="E12">
        <v>3172</v>
      </c>
      <c r="F12">
        <v>3172</v>
      </c>
      <c r="G12">
        <v>3172</v>
      </c>
      <c r="J12" t="s">
        <v>76</v>
      </c>
      <c r="K12" t="s">
        <v>77</v>
      </c>
      <c r="L12" t="s">
        <v>78</v>
      </c>
      <c r="M12" t="s">
        <v>79</v>
      </c>
      <c r="N12" t="s">
        <v>80</v>
      </c>
    </row>
    <row r="13" spans="1:15" x14ac:dyDescent="0.3">
      <c r="A13" t="s">
        <v>115</v>
      </c>
      <c r="B13" t="s">
        <v>122</v>
      </c>
      <c r="C13">
        <f>'Utility Ins IncTax'!C13</f>
        <v>6549.4093539054957</v>
      </c>
      <c r="D13">
        <f>'Utility Ins IncTax'!D13</f>
        <v>8732.5458052073282</v>
      </c>
      <c r="E13">
        <f>'Utility Ins IncTax'!E13</f>
        <v>8732.5458052073282</v>
      </c>
      <c r="F13">
        <f>'Utility Ins IncTax'!F13</f>
        <v>8732.5458052073282</v>
      </c>
      <c r="G13">
        <f>'Utility Ins IncTax'!G13</f>
        <v>8732.5458052073282</v>
      </c>
      <c r="I13" t="s">
        <v>385</v>
      </c>
      <c r="J13" s="49">
        <f>J8-C34</f>
        <v>-15119901.151020572</v>
      </c>
      <c r="K13" s="49">
        <f>K8-D34</f>
        <v>332980.91510803252</v>
      </c>
      <c r="L13" s="49">
        <f>L8-E34</f>
        <v>18623013.632003013</v>
      </c>
      <c r="M13" s="49">
        <f>M8-F34</f>
        <v>21462389.886283837</v>
      </c>
      <c r="N13" s="49">
        <f>N8-G34</f>
        <v>26001945.398805249</v>
      </c>
      <c r="O13" s="49">
        <f>SUM(J13:N13)</f>
        <v>51300428.681179561</v>
      </c>
    </row>
    <row r="14" spans="1:15" x14ac:dyDescent="0.3">
      <c r="A14" t="s">
        <v>22</v>
      </c>
      <c r="C14">
        <v>166666.66666666669</v>
      </c>
      <c r="D14">
        <v>225499.99999999997</v>
      </c>
      <c r="E14">
        <v>231137.49999999994</v>
      </c>
      <c r="F14">
        <v>236915.93749999991</v>
      </c>
      <c r="G14">
        <v>242838.83593749988</v>
      </c>
      <c r="I14" t="s">
        <v>384</v>
      </c>
      <c r="J14" s="49">
        <f>J10-C34</f>
        <v>-14716427.951020572</v>
      </c>
      <c r="K14" s="49">
        <f>K10-D34</f>
        <v>736454.11510803178</v>
      </c>
      <c r="L14" s="49">
        <f>L10-E34</f>
        <v>19026486.832003016</v>
      </c>
      <c r="M14" s="49">
        <f>M10-F34</f>
        <v>21865863.08628384</v>
      </c>
      <c r="N14" s="49">
        <f>N10-G34</f>
        <v>26405418.598805252</v>
      </c>
      <c r="O14" s="49">
        <f>SUM(J14:N14)</f>
        <v>53317794.681179568</v>
      </c>
    </row>
    <row r="15" spans="1:15" x14ac:dyDescent="0.3">
      <c r="A15" t="s">
        <v>148</v>
      </c>
      <c r="C15">
        <v>6220.5</v>
      </c>
      <c r="D15">
        <v>6220.5</v>
      </c>
      <c r="E15">
        <v>6220.5</v>
      </c>
      <c r="F15">
        <v>6220.5</v>
      </c>
      <c r="G15">
        <v>6220.5</v>
      </c>
      <c r="J15" t="s">
        <v>431</v>
      </c>
    </row>
    <row r="16" spans="1:15" x14ac:dyDescent="0.3">
      <c r="A16" t="s">
        <v>314</v>
      </c>
      <c r="C16" t="s">
        <v>197</v>
      </c>
      <c r="D16" t="s">
        <v>197</v>
      </c>
      <c r="E16" t="s">
        <v>197</v>
      </c>
      <c r="F16" t="s">
        <v>197</v>
      </c>
      <c r="G16" t="s">
        <v>197</v>
      </c>
      <c r="M16" t="s">
        <v>385</v>
      </c>
      <c r="N16" s="49">
        <f>SUM(J13:N13)</f>
        <v>51300428.681179561</v>
      </c>
    </row>
    <row r="17" spans="1:17" x14ac:dyDescent="0.3">
      <c r="A17" t="s">
        <v>112</v>
      </c>
      <c r="C17">
        <v>80</v>
      </c>
      <c r="D17">
        <v>24780</v>
      </c>
      <c r="E17">
        <v>54680</v>
      </c>
      <c r="F17">
        <v>60140</v>
      </c>
      <c r="G17">
        <v>66146</v>
      </c>
      <c r="M17" t="s">
        <v>384</v>
      </c>
      <c r="N17" s="49">
        <f>SUM(J14:N14)</f>
        <v>53317794.681179568</v>
      </c>
    </row>
    <row r="18" spans="1:17" x14ac:dyDescent="0.3">
      <c r="A18" t="s">
        <v>428</v>
      </c>
      <c r="C18">
        <v>24686</v>
      </c>
      <c r="D18">
        <v>24686</v>
      </c>
      <c r="E18">
        <v>24686</v>
      </c>
      <c r="F18">
        <v>24686</v>
      </c>
      <c r="G18">
        <v>24686</v>
      </c>
    </row>
    <row r="19" spans="1:17" x14ac:dyDescent="0.3">
      <c r="A19" t="s">
        <v>427</v>
      </c>
      <c r="C19">
        <v>60025</v>
      </c>
      <c r="D19">
        <v>94850</v>
      </c>
      <c r="E19">
        <v>105000</v>
      </c>
      <c r="F19">
        <v>112560</v>
      </c>
      <c r="G19">
        <v>112560</v>
      </c>
      <c r="K19" t="s">
        <v>389</v>
      </c>
      <c r="N19" s="49">
        <f>N16-WinBS!N16</f>
        <v>55932.249149940908</v>
      </c>
    </row>
    <row r="20" spans="1:17" x14ac:dyDescent="0.3">
      <c r="A20" t="s">
        <v>113</v>
      </c>
      <c r="C20">
        <v>0</v>
      </c>
      <c r="D20">
        <v>24700</v>
      </c>
      <c r="E20">
        <v>54600</v>
      </c>
      <c r="F20">
        <v>60060</v>
      </c>
      <c r="G20">
        <v>66066</v>
      </c>
      <c r="K20" t="s">
        <v>388</v>
      </c>
      <c r="N20" s="49">
        <f>N17-WinBS!N17</f>
        <v>1765372.2491499409</v>
      </c>
    </row>
    <row r="21" spans="1:17" x14ac:dyDescent="0.3">
      <c r="A21" t="s">
        <v>317</v>
      </c>
      <c r="C21">
        <v>10477.700000000001</v>
      </c>
      <c r="D21">
        <v>12573.24</v>
      </c>
      <c r="E21">
        <v>12573.24</v>
      </c>
      <c r="F21">
        <v>12573.24</v>
      </c>
      <c r="G21">
        <v>12573.24</v>
      </c>
    </row>
    <row r="22" spans="1:17" x14ac:dyDescent="0.3">
      <c r="A22" t="s">
        <v>114</v>
      </c>
      <c r="C22">
        <v>750000</v>
      </c>
      <c r="D22">
        <v>250000</v>
      </c>
      <c r="E22">
        <v>250000</v>
      </c>
      <c r="F22">
        <v>50000</v>
      </c>
      <c r="G22">
        <v>0</v>
      </c>
    </row>
    <row r="23" spans="1:17" x14ac:dyDescent="0.3">
      <c r="A23" t="s">
        <v>116</v>
      </c>
      <c r="C23" s="59">
        <v>20000</v>
      </c>
      <c r="D23" s="59">
        <v>20000</v>
      </c>
      <c r="E23" s="59">
        <v>20000</v>
      </c>
      <c r="F23" s="59">
        <v>20000</v>
      </c>
      <c r="G23" s="59">
        <v>20000</v>
      </c>
      <c r="L23" s="49"/>
      <c r="M23" s="49"/>
      <c r="N23" s="49"/>
      <c r="O23" s="49"/>
      <c r="P23" s="49"/>
      <c r="Q23" s="49"/>
    </row>
    <row r="24" spans="1:17" x14ac:dyDescent="0.3">
      <c r="A24" t="s">
        <v>117</v>
      </c>
      <c r="C24">
        <f>0.3*J8</f>
        <v>0</v>
      </c>
      <c r="D24">
        <f>0.3*K8</f>
        <v>5700000</v>
      </c>
      <c r="E24">
        <f>0.3*L8</f>
        <v>12600000</v>
      </c>
      <c r="F24">
        <f>0.3*M8</f>
        <v>13860000.000000002</v>
      </c>
      <c r="G24">
        <f>0.3*N8</f>
        <v>15246000.000000004</v>
      </c>
    </row>
    <row r="25" spans="1:17" x14ac:dyDescent="0.3">
      <c r="A25" t="s">
        <v>422</v>
      </c>
      <c r="C25" s="59">
        <v>2500000</v>
      </c>
      <c r="D25" s="59">
        <v>0</v>
      </c>
      <c r="E25" s="59">
        <v>0</v>
      </c>
      <c r="F25" s="59">
        <v>0</v>
      </c>
      <c r="G25" s="59">
        <v>0</v>
      </c>
    </row>
    <row r="26" spans="1:17" x14ac:dyDescent="0.3">
      <c r="A26" t="s">
        <v>133</v>
      </c>
      <c r="C26" s="59">
        <v>0</v>
      </c>
      <c r="D26" s="59">
        <v>600000</v>
      </c>
      <c r="E26" s="59">
        <v>0</v>
      </c>
      <c r="F26" s="59">
        <v>0</v>
      </c>
      <c r="G26" s="59">
        <v>0</v>
      </c>
    </row>
    <row r="27" spans="1:17" x14ac:dyDescent="0.3">
      <c r="F27" s="59"/>
      <c r="L27" s="49"/>
      <c r="M27" s="49"/>
      <c r="N27" s="49"/>
      <c r="O27" s="49"/>
      <c r="P27" s="49"/>
      <c r="Q27" s="49"/>
    </row>
    <row r="34" spans="1:8" x14ac:dyDescent="0.3">
      <c r="A34" t="s">
        <v>94</v>
      </c>
      <c r="C34" s="49">
        <f>SUM(C4:C26)</f>
        <v>15119901.151020572</v>
      </c>
      <c r="D34" s="49">
        <f>SUM(D4:D26)</f>
        <v>18667019.084891967</v>
      </c>
      <c r="E34" s="49">
        <f>SUM(E4:E26)</f>
        <v>23376986.367996987</v>
      </c>
      <c r="F34" s="49">
        <f>SUM(F4:F26)</f>
        <v>24737610.11371617</v>
      </c>
      <c r="G34" s="49">
        <f>SUM(G4:G26)</f>
        <v>24818054.601194765</v>
      </c>
      <c r="H34" s="49">
        <f>SUM(C34:G34)</f>
        <v>106719571.31882046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B778-3CEE-4ED2-B564-9ABB45B8C517}">
  <dimension ref="A1:O34"/>
  <sheetViews>
    <sheetView topLeftCell="D16" workbookViewId="0">
      <selection activeCell="J30" sqref="J30"/>
    </sheetView>
  </sheetViews>
  <sheetFormatPr defaultRowHeight="14.4" x14ac:dyDescent="0.3"/>
  <cols>
    <col min="1" max="1" width="15.44140625" customWidth="1"/>
    <col min="2" max="2" width="16.88671875" customWidth="1"/>
    <col min="3" max="3" width="14.5546875" customWidth="1"/>
    <col min="4" max="4" width="12.88671875" customWidth="1"/>
    <col min="5" max="5" width="13.44140625" customWidth="1"/>
    <col min="6" max="6" width="13.21875" customWidth="1"/>
    <col min="7" max="7" width="15.33203125" customWidth="1"/>
    <col min="8" max="8" width="12.44140625" bestFit="1" customWidth="1"/>
    <col min="9" max="9" width="18.88671875" customWidth="1"/>
    <col min="10" max="10" width="13.21875" customWidth="1"/>
    <col min="11" max="11" width="12" customWidth="1"/>
    <col min="12" max="12" width="11.77734375" customWidth="1"/>
    <col min="13" max="13" width="11.88671875" customWidth="1"/>
    <col min="14" max="14" width="12.77734375" customWidth="1"/>
    <col min="15" max="15" width="11.44140625" bestFit="1" customWidth="1"/>
  </cols>
  <sheetData>
    <row r="1" spans="1:15" x14ac:dyDescent="0.3">
      <c r="A1" t="s">
        <v>245</v>
      </c>
      <c r="H1" t="s">
        <v>124</v>
      </c>
    </row>
    <row r="2" spans="1:15" x14ac:dyDescent="0.3">
      <c r="H2" t="s">
        <v>76</v>
      </c>
      <c r="I2" t="s">
        <v>125</v>
      </c>
    </row>
    <row r="3" spans="1:15" x14ac:dyDescent="0.3">
      <c r="A3" t="s">
        <v>81</v>
      </c>
      <c r="C3" t="s">
        <v>76</v>
      </c>
      <c r="D3" t="s">
        <v>77</v>
      </c>
      <c r="E3" t="s">
        <v>78</v>
      </c>
      <c r="F3" t="s">
        <v>79</v>
      </c>
      <c r="G3" t="s">
        <v>80</v>
      </c>
      <c r="H3" t="s">
        <v>76</v>
      </c>
      <c r="I3" t="s">
        <v>126</v>
      </c>
    </row>
    <row r="4" spans="1:15" x14ac:dyDescent="0.3">
      <c r="A4" t="s">
        <v>83</v>
      </c>
      <c r="C4" s="49">
        <v>8000000</v>
      </c>
      <c r="D4" s="49">
        <v>4000000</v>
      </c>
      <c r="E4" s="49">
        <v>1000000</v>
      </c>
      <c r="F4" s="49">
        <v>1000000</v>
      </c>
      <c r="G4" s="49">
        <v>0</v>
      </c>
      <c r="H4" s="49" t="s">
        <v>76</v>
      </c>
      <c r="I4" s="49" t="s">
        <v>127</v>
      </c>
    </row>
    <row r="5" spans="1:15" x14ac:dyDescent="0.3">
      <c r="A5" t="s">
        <v>84</v>
      </c>
      <c r="C5" s="49">
        <v>500000</v>
      </c>
      <c r="D5" s="49">
        <v>500000</v>
      </c>
      <c r="E5" s="49">
        <v>200000</v>
      </c>
      <c r="F5" s="49">
        <v>200000</v>
      </c>
      <c r="G5" s="49">
        <v>0</v>
      </c>
      <c r="H5" s="49" t="s">
        <v>76</v>
      </c>
      <c r="I5" s="49" t="s">
        <v>129</v>
      </c>
    </row>
    <row r="6" spans="1:15" x14ac:dyDescent="0.3">
      <c r="A6" t="s">
        <v>471</v>
      </c>
      <c r="C6" s="49">
        <v>450500</v>
      </c>
      <c r="D6" s="49">
        <v>238500</v>
      </c>
      <c r="E6" s="49">
        <v>63600</v>
      </c>
      <c r="F6" s="49">
        <v>63600</v>
      </c>
      <c r="G6" s="49">
        <v>0</v>
      </c>
    </row>
    <row r="7" spans="1:15" x14ac:dyDescent="0.3">
      <c r="A7" t="s">
        <v>455</v>
      </c>
      <c r="C7" s="49">
        <f>Labor!L11</f>
        <v>2495557.5</v>
      </c>
      <c r="D7" s="49">
        <f>Labor!M11</f>
        <v>6822892.5</v>
      </c>
      <c r="E7" s="49">
        <f>Labor!N11</f>
        <v>8654670</v>
      </c>
      <c r="F7" s="49">
        <f>Labor!O11</f>
        <v>8929117.5</v>
      </c>
      <c r="G7" s="49">
        <f>Labor!P11</f>
        <v>8929117.5</v>
      </c>
      <c r="J7" t="s">
        <v>76</v>
      </c>
      <c r="K7" t="s">
        <v>77</v>
      </c>
      <c r="L7" t="s">
        <v>78</v>
      </c>
      <c r="M7" t="s">
        <v>79</v>
      </c>
      <c r="N7" t="s">
        <v>80</v>
      </c>
    </row>
    <row r="8" spans="1:15" x14ac:dyDescent="0.3">
      <c r="A8" t="s">
        <v>110</v>
      </c>
      <c r="B8" t="s">
        <v>121</v>
      </c>
      <c r="C8" s="47">
        <v>43243.199999999997</v>
      </c>
      <c r="D8" s="47">
        <v>57657.599999999999</v>
      </c>
      <c r="E8" s="47">
        <v>57657.599999999999</v>
      </c>
      <c r="F8" s="47">
        <v>57657.599999999999</v>
      </c>
      <c r="G8" s="47">
        <v>57657.599999999999</v>
      </c>
      <c r="I8" t="s">
        <v>82</v>
      </c>
      <c r="J8">
        <v>0</v>
      </c>
      <c r="K8">
        <v>19000000</v>
      </c>
      <c r="L8">
        <v>42000000</v>
      </c>
      <c r="M8">
        <f>L8*1.1</f>
        <v>46200000.000000007</v>
      </c>
      <c r="N8">
        <f>M8*1.1</f>
        <v>50820000.000000015</v>
      </c>
      <c r="O8">
        <f>SUM(J8:N8)</f>
        <v>158020000</v>
      </c>
    </row>
    <row r="9" spans="1:15" x14ac:dyDescent="0.3">
      <c r="A9" t="s">
        <v>481</v>
      </c>
      <c r="C9" s="47">
        <v>0</v>
      </c>
      <c r="D9" s="47">
        <v>13013.698630136987</v>
      </c>
      <c r="E9" s="47">
        <v>38356.164383561641</v>
      </c>
      <c r="F9" s="47">
        <v>31643.835616438362</v>
      </c>
      <c r="G9" s="47">
        <v>34808.219178082203</v>
      </c>
      <c r="I9" t="s">
        <v>400</v>
      </c>
      <c r="J9">
        <f>307926/5</f>
        <v>61585.2</v>
      </c>
      <c r="K9">
        <f t="shared" ref="K9:N9" si="0">307926/5</f>
        <v>61585.2</v>
      </c>
      <c r="L9">
        <f t="shared" si="0"/>
        <v>61585.2</v>
      </c>
      <c r="M9">
        <f t="shared" si="0"/>
        <v>61585.2</v>
      </c>
      <c r="N9">
        <f t="shared" si="0"/>
        <v>61585.2</v>
      </c>
    </row>
    <row r="10" spans="1:15" x14ac:dyDescent="0.3">
      <c r="A10" t="s">
        <v>306</v>
      </c>
      <c r="C10">
        <v>1800</v>
      </c>
      <c r="D10">
        <v>2400</v>
      </c>
      <c r="E10">
        <v>2400</v>
      </c>
      <c r="F10">
        <v>2400</v>
      </c>
      <c r="G10">
        <v>2400</v>
      </c>
      <c r="I10" t="s">
        <v>386</v>
      </c>
      <c r="J10">
        <f>SUM(J8:J9)</f>
        <v>61585.2</v>
      </c>
      <c r="K10">
        <f t="shared" ref="K10:N10" si="1">SUM(K8:K9)</f>
        <v>19061585.199999999</v>
      </c>
      <c r="L10">
        <f t="shared" si="1"/>
        <v>42061585.200000003</v>
      </c>
      <c r="M10">
        <f t="shared" si="1"/>
        <v>46261585.20000001</v>
      </c>
      <c r="N10">
        <f t="shared" si="1"/>
        <v>50881585.200000018</v>
      </c>
    </row>
    <row r="11" spans="1:15" x14ac:dyDescent="0.3">
      <c r="A11" t="s">
        <v>111</v>
      </c>
      <c r="B11" t="s">
        <v>120</v>
      </c>
      <c r="C11">
        <v>9718.125</v>
      </c>
      <c r="D11">
        <v>12957.5</v>
      </c>
      <c r="E11">
        <v>12957.5</v>
      </c>
      <c r="F11">
        <v>12957.5</v>
      </c>
      <c r="G11">
        <v>12957.5</v>
      </c>
    </row>
    <row r="12" spans="1:15" x14ac:dyDescent="0.3">
      <c r="A12" t="s">
        <v>466</v>
      </c>
      <c r="C12">
        <f>D12/2</f>
        <v>1586</v>
      </c>
      <c r="D12">
        <v>3172</v>
      </c>
      <c r="E12">
        <v>3172</v>
      </c>
      <c r="F12">
        <v>3172</v>
      </c>
      <c r="G12">
        <v>3172</v>
      </c>
      <c r="J12" t="s">
        <v>76</v>
      </c>
      <c r="K12" t="s">
        <v>77</v>
      </c>
      <c r="L12" t="s">
        <v>78</v>
      </c>
      <c r="M12" t="s">
        <v>79</v>
      </c>
      <c r="N12" t="s">
        <v>80</v>
      </c>
    </row>
    <row r="13" spans="1:15" x14ac:dyDescent="0.3">
      <c r="A13" t="s">
        <v>115</v>
      </c>
      <c r="B13" t="s">
        <v>122</v>
      </c>
      <c r="C13">
        <v>4751.6875602700093</v>
      </c>
      <c r="D13">
        <v>6335.5834136933463</v>
      </c>
      <c r="E13">
        <v>6335.5834136933463</v>
      </c>
      <c r="F13">
        <v>6335.5834136933463</v>
      </c>
      <c r="G13">
        <v>6335.5834136933463</v>
      </c>
      <c r="I13" t="s">
        <v>385</v>
      </c>
      <c r="J13" s="49">
        <f>J8-C34</f>
        <v>-15011171.379226934</v>
      </c>
      <c r="K13" s="49">
        <f>K8-D34</f>
        <v>777998.42795617133</v>
      </c>
      <c r="L13" s="49">
        <f>L8-E34</f>
        <v>18425658.613452744</v>
      </c>
      <c r="M13" s="49">
        <f>M8-F34</f>
        <v>21261475.597251125</v>
      </c>
      <c r="N13" s="49">
        <f>N8-G34</f>
        <v>25790535.172596514</v>
      </c>
      <c r="O13" s="49">
        <f>SUM(J13:N13)</f>
        <v>51244496.43202962</v>
      </c>
    </row>
    <row r="14" spans="1:15" x14ac:dyDescent="0.3">
      <c r="A14" t="s">
        <v>22</v>
      </c>
      <c r="C14">
        <v>218531.66666666669</v>
      </c>
      <c r="D14">
        <v>268793.94999999995</v>
      </c>
      <c r="E14">
        <v>275513.7987499999</v>
      </c>
      <c r="F14">
        <v>282401.64371874987</v>
      </c>
      <c r="G14">
        <v>289461.68481171859</v>
      </c>
      <c r="I14" t="s">
        <v>384</v>
      </c>
      <c r="J14" s="49">
        <f>J10-C34</f>
        <v>-14949586.179226935</v>
      </c>
      <c r="K14" s="49">
        <f>K10-D34</f>
        <v>839583.62795617059</v>
      </c>
      <c r="L14" s="49">
        <f>L10-E34</f>
        <v>18487243.813452747</v>
      </c>
      <c r="M14" s="49">
        <f>M10-F34</f>
        <v>21323060.797251128</v>
      </c>
      <c r="N14" s="49">
        <f>N10-G34</f>
        <v>25852120.372596517</v>
      </c>
      <c r="O14" s="49">
        <f>SUM(J14:N14)</f>
        <v>51552422.432029627</v>
      </c>
    </row>
    <row r="15" spans="1:15" x14ac:dyDescent="0.3">
      <c r="A15" t="s">
        <v>423</v>
      </c>
      <c r="C15">
        <v>6220.5</v>
      </c>
      <c r="D15">
        <v>6220.5</v>
      </c>
      <c r="E15">
        <v>6220.5</v>
      </c>
      <c r="F15">
        <v>6220.5</v>
      </c>
      <c r="G15">
        <v>6220.5</v>
      </c>
      <c r="J15" t="s">
        <v>431</v>
      </c>
    </row>
    <row r="16" spans="1:15" x14ac:dyDescent="0.3">
      <c r="A16" t="s">
        <v>314</v>
      </c>
      <c r="C16" t="s">
        <v>197</v>
      </c>
      <c r="D16" t="s">
        <v>197</v>
      </c>
      <c r="E16" t="s">
        <v>197</v>
      </c>
      <c r="F16" t="s">
        <v>197</v>
      </c>
      <c r="G16" t="s">
        <v>197</v>
      </c>
      <c r="M16" t="s">
        <v>385</v>
      </c>
      <c r="N16" s="49">
        <f>SUM(J13:N13)</f>
        <v>51244496.43202962</v>
      </c>
    </row>
    <row r="17" spans="1:15" x14ac:dyDescent="0.3">
      <c r="A17" t="s">
        <v>112</v>
      </c>
      <c r="C17">
        <v>0</v>
      </c>
      <c r="D17">
        <v>9500</v>
      </c>
      <c r="E17">
        <v>21000</v>
      </c>
      <c r="F17">
        <v>23100</v>
      </c>
      <c r="G17">
        <v>25410</v>
      </c>
      <c r="M17" t="s">
        <v>384</v>
      </c>
      <c r="N17" s="49">
        <f>SUM(J14:N14)</f>
        <v>51552422.432029627</v>
      </c>
    </row>
    <row r="18" spans="1:15" x14ac:dyDescent="0.3">
      <c r="A18" t="s">
        <v>428</v>
      </c>
      <c r="C18">
        <v>72285</v>
      </c>
      <c r="D18">
        <v>72285</v>
      </c>
      <c r="E18">
        <v>72285</v>
      </c>
      <c r="F18">
        <v>72285</v>
      </c>
      <c r="G18">
        <v>72285</v>
      </c>
    </row>
    <row r="19" spans="1:15" x14ac:dyDescent="0.3">
      <c r="A19" t="s">
        <v>427</v>
      </c>
      <c r="C19">
        <v>126500</v>
      </c>
      <c r="D19">
        <v>201000</v>
      </c>
      <c r="E19">
        <v>223000</v>
      </c>
      <c r="F19">
        <v>245000</v>
      </c>
      <c r="G19">
        <v>245000</v>
      </c>
    </row>
    <row r="20" spans="1:15" x14ac:dyDescent="0.3">
      <c r="A20" t="s">
        <v>113</v>
      </c>
      <c r="C20">
        <v>0</v>
      </c>
      <c r="D20">
        <v>24700</v>
      </c>
      <c r="E20">
        <v>54600</v>
      </c>
      <c r="F20">
        <v>60060</v>
      </c>
      <c r="G20">
        <v>66066</v>
      </c>
      <c r="K20" t="s">
        <v>391</v>
      </c>
      <c r="N20" s="49">
        <f>N16-SBBS!N16</f>
        <v>-55932.249149940908</v>
      </c>
    </row>
    <row r="21" spans="1:15" x14ac:dyDescent="0.3">
      <c r="A21" t="s">
        <v>317</v>
      </c>
      <c r="C21">
        <v>10477.700000000001</v>
      </c>
      <c r="D21">
        <v>12573.24</v>
      </c>
      <c r="E21">
        <v>12573.24</v>
      </c>
      <c r="F21">
        <v>12573.24</v>
      </c>
      <c r="G21">
        <v>12573.24</v>
      </c>
      <c r="K21" t="s">
        <v>390</v>
      </c>
      <c r="N21" s="49">
        <f>N17-SBBS!N17</f>
        <v>-1765372.2491499409</v>
      </c>
    </row>
    <row r="22" spans="1:15" x14ac:dyDescent="0.3">
      <c r="A22" t="s">
        <v>114</v>
      </c>
      <c r="C22">
        <v>750000</v>
      </c>
      <c r="D22">
        <v>250000</v>
      </c>
      <c r="E22">
        <v>250000</v>
      </c>
      <c r="F22">
        <v>50000</v>
      </c>
      <c r="G22">
        <v>0</v>
      </c>
    </row>
    <row r="23" spans="1:15" x14ac:dyDescent="0.3">
      <c r="A23" t="s">
        <v>116</v>
      </c>
      <c r="C23" s="59">
        <v>20000</v>
      </c>
      <c r="D23" s="59">
        <v>20000</v>
      </c>
      <c r="E23" s="59">
        <v>20000</v>
      </c>
      <c r="F23" s="59">
        <v>20000</v>
      </c>
      <c r="G23" s="59">
        <v>20000</v>
      </c>
      <c r="O23" s="49"/>
    </row>
    <row r="24" spans="1:15" x14ac:dyDescent="0.3">
      <c r="A24" t="s">
        <v>117</v>
      </c>
      <c r="C24">
        <f>0.3*J8</f>
        <v>0</v>
      </c>
      <c r="D24">
        <f>0.3*K8</f>
        <v>5700000</v>
      </c>
      <c r="E24">
        <f>0.3*L8</f>
        <v>12600000</v>
      </c>
      <c r="F24">
        <f>0.3*M8</f>
        <v>13860000.000000002</v>
      </c>
      <c r="G24">
        <f>0.3*N8</f>
        <v>15246000.000000004</v>
      </c>
    </row>
    <row r="25" spans="1:15" x14ac:dyDescent="0.3">
      <c r="A25" t="s">
        <v>319</v>
      </c>
      <c r="C25" s="59">
        <v>2000000</v>
      </c>
      <c r="D25" s="59">
        <v>0</v>
      </c>
      <c r="E25" s="59">
        <v>0</v>
      </c>
      <c r="F25" s="59">
        <v>0</v>
      </c>
      <c r="G25" s="59">
        <v>0</v>
      </c>
      <c r="L25" s="49"/>
      <c r="M25" s="49"/>
      <c r="N25" s="49"/>
    </row>
    <row r="26" spans="1:15" x14ac:dyDescent="0.3">
      <c r="A26" t="s">
        <v>318</v>
      </c>
      <c r="C26" s="59">
        <v>300000</v>
      </c>
      <c r="D26" s="59">
        <v>0</v>
      </c>
      <c r="E26" s="59">
        <v>0</v>
      </c>
      <c r="F26" s="59">
        <v>0</v>
      </c>
      <c r="G26" s="59">
        <v>0</v>
      </c>
    </row>
    <row r="27" spans="1:15" x14ac:dyDescent="0.3">
      <c r="F27" s="59"/>
      <c r="O27" s="49"/>
    </row>
    <row r="29" spans="1:15" x14ac:dyDescent="0.3">
      <c r="L29" s="49"/>
      <c r="M29" s="49"/>
      <c r="N29" s="49"/>
    </row>
    <row r="34" spans="1:8" x14ac:dyDescent="0.3">
      <c r="A34" t="s">
        <v>94</v>
      </c>
      <c r="C34" s="49">
        <f>SUM(C4:C33)</f>
        <v>15011171.379226934</v>
      </c>
      <c r="D34" s="49">
        <f>SUM(D4:D33)</f>
        <v>18222001.572043829</v>
      </c>
      <c r="E34" s="49">
        <f>SUM(E4:E33)</f>
        <v>23574341.386547256</v>
      </c>
      <c r="F34" s="49">
        <f>SUM(F4:F33)</f>
        <v>24938524.402748883</v>
      </c>
      <c r="G34" s="49">
        <f>SUM(G4:G33)</f>
        <v>25029464.827403501</v>
      </c>
      <c r="H34" s="49">
        <f>SUM(C34:G34)</f>
        <v>106775503.56797041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951B-2716-4AD9-8289-FAC3A312AE62}">
  <dimension ref="A1:Q21"/>
  <sheetViews>
    <sheetView workbookViewId="0">
      <selection activeCell="J12" sqref="J12"/>
    </sheetView>
  </sheetViews>
  <sheetFormatPr defaultRowHeight="14.4" x14ac:dyDescent="0.3"/>
  <cols>
    <col min="1" max="1" width="13.109375" customWidth="1"/>
    <col min="3" max="3" width="13.77734375" customWidth="1"/>
    <col min="10" max="10" width="12.5546875" customWidth="1"/>
    <col min="11" max="11" width="13.6640625" bestFit="1" customWidth="1"/>
    <col min="12" max="12" width="15.21875" customWidth="1"/>
    <col min="13" max="13" width="14.33203125" customWidth="1"/>
    <col min="14" max="15" width="14.21875" customWidth="1"/>
    <col min="16" max="16" width="13.6640625" customWidth="1"/>
  </cols>
  <sheetData>
    <row r="1" spans="1:17" x14ac:dyDescent="0.3">
      <c r="D1" t="s">
        <v>106</v>
      </c>
      <c r="I1" t="s">
        <v>448</v>
      </c>
      <c r="K1" t="s">
        <v>107</v>
      </c>
    </row>
    <row r="2" spans="1:17" x14ac:dyDescent="0.3">
      <c r="A2" t="s">
        <v>105</v>
      </c>
      <c r="B2" t="s">
        <v>104</v>
      </c>
      <c r="C2" t="s">
        <v>103</v>
      </c>
      <c r="D2" t="s">
        <v>76</v>
      </c>
      <c r="E2" t="s">
        <v>77</v>
      </c>
      <c r="F2" t="s">
        <v>78</v>
      </c>
      <c r="G2" t="s">
        <v>79</v>
      </c>
      <c r="H2" t="s">
        <v>80</v>
      </c>
      <c r="K2" t="s">
        <v>76</v>
      </c>
      <c r="L2" t="s">
        <v>130</v>
      </c>
      <c r="M2" t="s">
        <v>77</v>
      </c>
      <c r="N2" t="s">
        <v>78</v>
      </c>
      <c r="O2" t="s">
        <v>79</v>
      </c>
      <c r="P2" t="s">
        <v>80</v>
      </c>
    </row>
    <row r="3" spans="1:17" x14ac:dyDescent="0.3">
      <c r="A3" s="177" t="s">
        <v>85</v>
      </c>
      <c r="B3" s="178" t="s">
        <v>86</v>
      </c>
      <c r="C3" s="179">
        <v>65000</v>
      </c>
      <c r="D3">
        <v>10</v>
      </c>
      <c r="E3">
        <v>15</v>
      </c>
      <c r="F3">
        <v>20</v>
      </c>
      <c r="G3">
        <v>20</v>
      </c>
      <c r="H3">
        <v>20</v>
      </c>
      <c r="I3" s="47">
        <f>C3/2000</f>
        <v>32.5</v>
      </c>
      <c r="K3" s="49">
        <f>C3*D3</f>
        <v>650000</v>
      </c>
      <c r="L3" s="49">
        <f>K3/2</f>
        <v>325000</v>
      </c>
      <c r="M3" s="49">
        <f>C3*E3</f>
        <v>975000</v>
      </c>
      <c r="N3" s="49">
        <f>C3*F3</f>
        <v>1300000</v>
      </c>
      <c r="O3" s="49">
        <f>$C$3*G3</f>
        <v>1300000</v>
      </c>
      <c r="P3" s="49">
        <f>$C$3*H3</f>
        <v>1300000</v>
      </c>
    </row>
    <row r="4" spans="1:17" x14ac:dyDescent="0.3">
      <c r="A4" s="177" t="s">
        <v>87</v>
      </c>
      <c r="B4" s="178" t="s">
        <v>88</v>
      </c>
      <c r="C4" s="179">
        <v>43000</v>
      </c>
      <c r="D4">
        <v>50</v>
      </c>
      <c r="E4">
        <v>60</v>
      </c>
      <c r="F4">
        <v>70</v>
      </c>
      <c r="G4">
        <v>75</v>
      </c>
      <c r="H4">
        <v>75</v>
      </c>
      <c r="I4" s="47">
        <f t="shared" ref="I4:I6" si="0">C4/2000</f>
        <v>21.5</v>
      </c>
      <c r="K4" s="49">
        <f>$C$4*D4</f>
        <v>2150000</v>
      </c>
      <c r="L4" s="49">
        <f t="shared" ref="L4:L6" si="1">K4/2</f>
        <v>1075000</v>
      </c>
      <c r="M4" s="49">
        <f>$C$4*E4</f>
        <v>2580000</v>
      </c>
      <c r="N4" s="49">
        <f>$C$4*F4</f>
        <v>3010000</v>
      </c>
      <c r="O4" s="49">
        <f>$C$4*G4</f>
        <v>3225000</v>
      </c>
      <c r="P4" s="49">
        <f>$C$4*H4</f>
        <v>3225000</v>
      </c>
    </row>
    <row r="5" spans="1:17" x14ac:dyDescent="0.3">
      <c r="A5" s="177" t="s">
        <v>89</v>
      </c>
      <c r="B5" s="178" t="s">
        <v>90</v>
      </c>
      <c r="C5" s="179">
        <v>50000</v>
      </c>
      <c r="D5">
        <v>5</v>
      </c>
      <c r="E5">
        <v>10</v>
      </c>
      <c r="F5">
        <v>15</v>
      </c>
      <c r="G5">
        <v>15</v>
      </c>
      <c r="H5">
        <v>15</v>
      </c>
      <c r="I5" s="47">
        <f t="shared" si="0"/>
        <v>25</v>
      </c>
      <c r="K5" s="49">
        <f>$C$5*D5</f>
        <v>250000</v>
      </c>
      <c r="L5" s="49">
        <f t="shared" si="1"/>
        <v>125000</v>
      </c>
      <c r="M5" s="49">
        <f>$C$5*E5</f>
        <v>500000</v>
      </c>
      <c r="N5" s="49">
        <f>$C$5*F5</f>
        <v>750000</v>
      </c>
      <c r="O5" s="49">
        <f>$C$5*G5</f>
        <v>750000</v>
      </c>
      <c r="P5" s="49">
        <f>$C$5*H5</f>
        <v>750000</v>
      </c>
    </row>
    <row r="6" spans="1:17" x14ac:dyDescent="0.3">
      <c r="A6" s="177" t="s">
        <v>91</v>
      </c>
      <c r="B6" s="178" t="s">
        <v>92</v>
      </c>
      <c r="C6" s="179">
        <v>43000</v>
      </c>
      <c r="D6">
        <v>20</v>
      </c>
      <c r="E6">
        <v>30</v>
      </c>
      <c r="F6">
        <v>40</v>
      </c>
      <c r="G6">
        <v>40</v>
      </c>
      <c r="H6">
        <v>40</v>
      </c>
      <c r="I6" s="47">
        <f t="shared" si="0"/>
        <v>21.5</v>
      </c>
      <c r="K6" s="49">
        <f>$C$6*D6</f>
        <v>860000</v>
      </c>
      <c r="L6" s="49">
        <f t="shared" si="1"/>
        <v>430000</v>
      </c>
      <c r="M6" s="49">
        <f>$C$6*E6</f>
        <v>1290000</v>
      </c>
      <c r="N6" s="49">
        <f>$C$6*F6</f>
        <v>1720000</v>
      </c>
      <c r="O6" s="49">
        <f>$C$6*G6</f>
        <v>1720000</v>
      </c>
      <c r="P6" s="49">
        <f>$C$6*H6</f>
        <v>1720000</v>
      </c>
    </row>
    <row r="7" spans="1:17" x14ac:dyDescent="0.3">
      <c r="D7">
        <f>SUM(D3:D6)</f>
        <v>85</v>
      </c>
      <c r="E7">
        <f>(SUM(E3:E6)-SUM(D3:D6))</f>
        <v>30</v>
      </c>
      <c r="F7">
        <f>(SUM(F3:F6)-SUM(E3:E6))</f>
        <v>30</v>
      </c>
      <c r="G7">
        <f>(SUM(G3:G6)-SUM(F3:F6))</f>
        <v>5</v>
      </c>
      <c r="H7">
        <f>(SUM(H3:H6)-SUM(G3:G6))</f>
        <v>0</v>
      </c>
      <c r="I7" s="47">
        <f>SUM(D7:H7)</f>
        <v>150</v>
      </c>
    </row>
    <row r="8" spans="1:17" x14ac:dyDescent="0.3">
      <c r="D8" t="s">
        <v>76</v>
      </c>
      <c r="E8" t="s">
        <v>77</v>
      </c>
      <c r="F8" t="s">
        <v>78</v>
      </c>
      <c r="G8" t="s">
        <v>79</v>
      </c>
      <c r="H8" t="s">
        <v>80</v>
      </c>
      <c r="K8" s="49">
        <f>SUM(K3:K6)</f>
        <v>3910000</v>
      </c>
      <c r="L8" s="49">
        <f>SUM(L3:L6)</f>
        <v>1955000</v>
      </c>
      <c r="M8" s="49">
        <f t="shared" ref="M8:P8" si="2">SUM(M3:M6)</f>
        <v>5345000</v>
      </c>
      <c r="N8" s="49">
        <f t="shared" si="2"/>
        <v>6780000</v>
      </c>
      <c r="O8" s="49">
        <f t="shared" si="2"/>
        <v>6995000</v>
      </c>
      <c r="P8" s="49">
        <f t="shared" si="2"/>
        <v>6995000</v>
      </c>
    </row>
    <row r="9" spans="1:17" ht="57.6" x14ac:dyDescent="0.3">
      <c r="A9" s="177" t="s">
        <v>269</v>
      </c>
      <c r="B9" s="178" t="s">
        <v>270</v>
      </c>
      <c r="C9" s="177" t="s">
        <v>85</v>
      </c>
      <c r="D9" t="s">
        <v>271</v>
      </c>
      <c r="E9">
        <f>5*10000</f>
        <v>50000</v>
      </c>
      <c r="F9">
        <f>5*10000</f>
        <v>50000</v>
      </c>
      <c r="G9">
        <v>0</v>
      </c>
      <c r="H9">
        <v>0</v>
      </c>
      <c r="J9" s="46" t="s">
        <v>123</v>
      </c>
      <c r="K9" s="55">
        <f>K8*0.2</f>
        <v>782000</v>
      </c>
      <c r="L9" s="55">
        <f>L8*0.2</f>
        <v>391000</v>
      </c>
      <c r="M9" s="55">
        <f t="shared" ref="M9:P9" si="3">M8*0.2</f>
        <v>1069000</v>
      </c>
      <c r="N9" s="55">
        <f t="shared" si="3"/>
        <v>1356000</v>
      </c>
      <c r="O9" s="55">
        <f t="shared" si="3"/>
        <v>1399000</v>
      </c>
      <c r="P9" s="55">
        <f t="shared" si="3"/>
        <v>1399000</v>
      </c>
    </row>
    <row r="10" spans="1:17" ht="57.6" x14ac:dyDescent="0.3">
      <c r="C10" s="177" t="s">
        <v>87</v>
      </c>
      <c r="D10">
        <f>D4*10000</f>
        <v>500000</v>
      </c>
      <c r="E10">
        <f>10*10000</f>
        <v>100000</v>
      </c>
      <c r="F10">
        <f>10*10000</f>
        <v>100000</v>
      </c>
      <c r="G10">
        <f>5*10000</f>
        <v>50000</v>
      </c>
      <c r="H10">
        <v>0</v>
      </c>
      <c r="J10" s="165" t="s">
        <v>454</v>
      </c>
      <c r="K10" s="198">
        <f>K8*(0.0765)</f>
        <v>299115</v>
      </c>
      <c r="L10" s="198">
        <f t="shared" ref="L10:P10" si="4">L8*(0.0765)</f>
        <v>149557.5</v>
      </c>
      <c r="M10" s="198">
        <f t="shared" si="4"/>
        <v>408892.5</v>
      </c>
      <c r="N10" s="198">
        <f t="shared" si="4"/>
        <v>518670</v>
      </c>
      <c r="O10" s="198">
        <f t="shared" si="4"/>
        <v>535117.5</v>
      </c>
      <c r="P10" s="198">
        <f t="shared" si="4"/>
        <v>535117.5</v>
      </c>
    </row>
    <row r="11" spans="1:17" ht="43.2" x14ac:dyDescent="0.3">
      <c r="C11" s="177" t="s">
        <v>89</v>
      </c>
      <c r="D11">
        <f>5*10000</f>
        <v>50000</v>
      </c>
      <c r="E11">
        <f>5*10000</f>
        <v>50000</v>
      </c>
      <c r="F11">
        <f>5*10000</f>
        <v>50000</v>
      </c>
      <c r="G11">
        <v>0</v>
      </c>
      <c r="H11">
        <v>0</v>
      </c>
      <c r="J11" s="184" t="s">
        <v>108</v>
      </c>
      <c r="K11" s="49">
        <f>SUM(K8:K10)</f>
        <v>4991115</v>
      </c>
      <c r="L11" s="49">
        <f t="shared" ref="L11:P11" si="5">SUM(L8:L10)</f>
        <v>2495557.5</v>
      </c>
      <c r="M11" s="49">
        <f t="shared" si="5"/>
        <v>6822892.5</v>
      </c>
      <c r="N11" s="49">
        <f t="shared" si="5"/>
        <v>8654670</v>
      </c>
      <c r="O11" s="49">
        <f t="shared" si="5"/>
        <v>8929117.5</v>
      </c>
      <c r="P11" s="49">
        <f t="shared" si="5"/>
        <v>8929117.5</v>
      </c>
    </row>
    <row r="12" spans="1:17" x14ac:dyDescent="0.3">
      <c r="C12" s="177" t="s">
        <v>91</v>
      </c>
      <c r="D12">
        <f>20*10000</f>
        <v>200000</v>
      </c>
      <c r="E12">
        <f>10*10000</f>
        <v>100000</v>
      </c>
      <c r="F12">
        <f>10*10000</f>
        <v>100000</v>
      </c>
      <c r="G12">
        <v>0</v>
      </c>
      <c r="H12" s="183">
        <v>0</v>
      </c>
      <c r="I12" s="180"/>
      <c r="J12" s="180"/>
      <c r="K12" s="180"/>
      <c r="L12" s="180"/>
      <c r="M12" s="180"/>
      <c r="N12" s="180"/>
      <c r="O12" s="180"/>
      <c r="P12" s="63"/>
      <c r="Q12" s="63"/>
    </row>
    <row r="13" spans="1:17" x14ac:dyDescent="0.3">
      <c r="B13" t="s">
        <v>272</v>
      </c>
      <c r="D13">
        <f>SUM(D10:D12)</f>
        <v>750000</v>
      </c>
      <c r="E13">
        <f>SUM(E10:E12)</f>
        <v>250000</v>
      </c>
      <c r="F13">
        <f>SUM(F10:F12)</f>
        <v>250000</v>
      </c>
      <c r="G13">
        <f>SUM(G10:G12)</f>
        <v>50000</v>
      </c>
      <c r="H13">
        <f>SUM(H10:H12)</f>
        <v>0</v>
      </c>
      <c r="I13" s="181"/>
      <c r="J13" s="181"/>
      <c r="K13" s="181"/>
      <c r="L13" s="181"/>
      <c r="M13" s="181"/>
      <c r="N13" s="181"/>
      <c r="O13" s="181"/>
      <c r="P13" s="53"/>
      <c r="Q13" s="53"/>
    </row>
    <row r="14" spans="1:17" x14ac:dyDescent="0.3">
      <c r="H14" s="177"/>
      <c r="I14" s="177"/>
      <c r="J14" s="178"/>
      <c r="K14" s="179"/>
      <c r="L14" s="178"/>
      <c r="M14" s="178"/>
      <c r="N14" s="178"/>
      <c r="O14" s="178"/>
      <c r="P14" s="54"/>
      <c r="Q14" s="54"/>
    </row>
    <row r="15" spans="1:17" x14ac:dyDescent="0.3">
      <c r="A15" t="s">
        <v>215</v>
      </c>
      <c r="E15" s="62" t="s">
        <v>214</v>
      </c>
      <c r="H15" s="177"/>
      <c r="I15" s="177"/>
      <c r="J15" s="178"/>
      <c r="K15" s="179"/>
      <c r="L15" s="178"/>
      <c r="M15" s="178"/>
      <c r="N15" s="178"/>
      <c r="O15" s="178"/>
      <c r="P15" s="54"/>
      <c r="Q15" s="54"/>
    </row>
    <row r="16" spans="1:17" x14ac:dyDescent="0.3">
      <c r="A16" t="s">
        <v>213</v>
      </c>
      <c r="H16" s="177"/>
      <c r="I16" s="177"/>
      <c r="J16" s="182" t="s">
        <v>425</v>
      </c>
      <c r="K16" s="179"/>
      <c r="L16" s="178"/>
      <c r="M16" s="178"/>
      <c r="N16" s="178"/>
      <c r="O16" s="178"/>
      <c r="P16" s="54"/>
      <c r="Q16" s="54"/>
    </row>
    <row r="17" spans="1:17" x14ac:dyDescent="0.3">
      <c r="H17" s="177"/>
      <c r="I17" s="177"/>
      <c r="J17" s="178"/>
      <c r="K17" s="179"/>
      <c r="L17" s="178"/>
      <c r="M17" s="178"/>
      <c r="N17" s="178"/>
      <c r="O17" s="178"/>
      <c r="P17" s="54"/>
      <c r="Q17" s="54"/>
    </row>
    <row r="18" spans="1:17" x14ac:dyDescent="0.3">
      <c r="A18" t="s">
        <v>238</v>
      </c>
    </row>
    <row r="19" spans="1:17" x14ac:dyDescent="0.3">
      <c r="A19" t="s">
        <v>239</v>
      </c>
    </row>
    <row r="21" spans="1:17" x14ac:dyDescent="0.3">
      <c r="A21" t="s">
        <v>436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180A-C085-495D-9054-1171132ED274}">
  <dimension ref="A1:Y49"/>
  <sheetViews>
    <sheetView topLeftCell="D43" workbookViewId="0">
      <selection activeCell="J53" sqref="J53"/>
    </sheetView>
  </sheetViews>
  <sheetFormatPr defaultRowHeight="14.4" x14ac:dyDescent="0.3"/>
  <cols>
    <col min="1" max="1" width="15.33203125" customWidth="1"/>
    <col min="3" max="3" width="12.5546875" bestFit="1" customWidth="1"/>
    <col min="4" max="4" width="12.77734375" customWidth="1"/>
    <col min="5" max="5" width="13.5546875" customWidth="1"/>
    <col min="6" max="6" width="14.5546875" customWidth="1"/>
    <col min="7" max="7" width="12" customWidth="1"/>
    <col min="8" max="8" width="12.5546875" bestFit="1" customWidth="1"/>
    <col min="13" max="14" width="11.5546875" bestFit="1" customWidth="1"/>
  </cols>
  <sheetData>
    <row r="1" spans="1:18" x14ac:dyDescent="0.3">
      <c r="A1" s="64" t="s">
        <v>135</v>
      </c>
      <c r="D1" t="s">
        <v>132</v>
      </c>
      <c r="K1" s="64" t="s">
        <v>208</v>
      </c>
    </row>
    <row r="3" spans="1:18" x14ac:dyDescent="0.3">
      <c r="B3" t="s">
        <v>134</v>
      </c>
      <c r="C3" t="s">
        <v>76</v>
      </c>
      <c r="D3" t="s">
        <v>77</v>
      </c>
      <c r="E3" t="s">
        <v>78</v>
      </c>
      <c r="F3" t="s">
        <v>79</v>
      </c>
      <c r="G3" t="s">
        <v>80</v>
      </c>
      <c r="K3" t="s">
        <v>209</v>
      </c>
      <c r="L3" t="s">
        <v>76</v>
      </c>
      <c r="M3" t="s">
        <v>77</v>
      </c>
      <c r="N3" t="s">
        <v>78</v>
      </c>
      <c r="O3" t="s">
        <v>79</v>
      </c>
      <c r="P3" t="s">
        <v>80</v>
      </c>
    </row>
    <row r="4" spans="1:18" x14ac:dyDescent="0.3">
      <c r="A4" t="s">
        <v>121</v>
      </c>
      <c r="B4" s="47">
        <v>7.0999999999999994E-2</v>
      </c>
      <c r="C4" s="47">
        <f>52000*9*B4</f>
        <v>33228</v>
      </c>
      <c r="D4" s="47">
        <f>52000*12*B4</f>
        <v>44303.999999999993</v>
      </c>
      <c r="E4" s="47">
        <f>52000*12*$B4</f>
        <v>44303.999999999993</v>
      </c>
      <c r="F4" s="47">
        <f>52000*12*$B4</f>
        <v>44303.999999999993</v>
      </c>
      <c r="G4" s="47">
        <f>52000*12*$B4</f>
        <v>44303.999999999993</v>
      </c>
      <c r="K4" t="s">
        <v>210</v>
      </c>
      <c r="L4">
        <f>M4*0.75</f>
        <v>7254.375</v>
      </c>
      <c r="M4">
        <f>(365*10000*2.65)/(1000)</f>
        <v>9672.5</v>
      </c>
      <c r="N4">
        <f t="shared" ref="N4:P4" si="0">(365*10000*2.65)/(1000)</f>
        <v>9672.5</v>
      </c>
      <c r="O4">
        <f t="shared" si="0"/>
        <v>9672.5</v>
      </c>
      <c r="P4">
        <f t="shared" si="0"/>
        <v>9672.5</v>
      </c>
    </row>
    <row r="6" spans="1:18" x14ac:dyDescent="0.3">
      <c r="K6" s="64" t="s">
        <v>211</v>
      </c>
    </row>
    <row r="7" spans="1:18" x14ac:dyDescent="0.3">
      <c r="A7" s="64" t="s">
        <v>136</v>
      </c>
      <c r="K7" t="s">
        <v>209</v>
      </c>
      <c r="L7" t="s">
        <v>76</v>
      </c>
      <c r="M7" t="s">
        <v>77</v>
      </c>
      <c r="N7" t="s">
        <v>78</v>
      </c>
      <c r="O7" t="s">
        <v>79</v>
      </c>
      <c r="P7" t="s">
        <v>80</v>
      </c>
    </row>
    <row r="8" spans="1:18" x14ac:dyDescent="0.3">
      <c r="B8" t="s">
        <v>134</v>
      </c>
      <c r="C8" t="s">
        <v>76</v>
      </c>
      <c r="D8" t="s">
        <v>77</v>
      </c>
      <c r="E8" t="s">
        <v>78</v>
      </c>
      <c r="F8" t="s">
        <v>79</v>
      </c>
      <c r="G8" t="s">
        <v>80</v>
      </c>
      <c r="K8" t="s">
        <v>212</v>
      </c>
      <c r="L8">
        <f>0.75*M8</f>
        <v>9718.125</v>
      </c>
      <c r="M8">
        <f>(365*10000*3.55)/(1000)</f>
        <v>12957.5</v>
      </c>
      <c r="N8">
        <f t="shared" ref="N8:P8" si="1">(365*10000*3.55)/(1000)</f>
        <v>12957.5</v>
      </c>
      <c r="O8">
        <f t="shared" si="1"/>
        <v>12957.5</v>
      </c>
      <c r="P8">
        <f t="shared" si="1"/>
        <v>12957.5</v>
      </c>
    </row>
    <row r="9" spans="1:18" x14ac:dyDescent="0.3">
      <c r="A9" t="s">
        <v>121</v>
      </c>
      <c r="B9" s="47">
        <v>9.2399999999999996E-2</v>
      </c>
      <c r="C9" s="47">
        <f>52000*9*B9</f>
        <v>43243.199999999997</v>
      </c>
      <c r="D9" s="47">
        <f>52000*12*B9</f>
        <v>57657.599999999999</v>
      </c>
      <c r="E9" s="47">
        <f>52000*12*$B9</f>
        <v>57657.599999999999</v>
      </c>
      <c r="F9" s="47">
        <f>52000*12*$B9</f>
        <v>57657.599999999999</v>
      </c>
      <c r="G9" s="47">
        <f>52000*12*$B9</f>
        <v>57657.599999999999</v>
      </c>
    </row>
    <row r="11" spans="1:18" x14ac:dyDescent="0.3">
      <c r="K11" s="64" t="s">
        <v>246</v>
      </c>
    </row>
    <row r="12" spans="1:18" ht="16.2" x14ac:dyDescent="0.3">
      <c r="A12" s="64" t="s">
        <v>137</v>
      </c>
      <c r="B12" t="s">
        <v>138</v>
      </c>
      <c r="C12" t="s">
        <v>76</v>
      </c>
      <c r="D12" t="s">
        <v>77</v>
      </c>
      <c r="E12" t="s">
        <v>78</v>
      </c>
      <c r="F12" t="s">
        <v>79</v>
      </c>
      <c r="G12" t="s">
        <v>80</v>
      </c>
      <c r="K12" t="s">
        <v>247</v>
      </c>
      <c r="L12" t="s">
        <v>76</v>
      </c>
      <c r="M12" t="s">
        <v>77</v>
      </c>
      <c r="N12" t="s">
        <v>78</v>
      </c>
      <c r="O12" t="s">
        <v>79</v>
      </c>
      <c r="P12" t="s">
        <v>80</v>
      </c>
    </row>
    <row r="13" spans="1:18" ht="16.2" x14ac:dyDescent="0.3">
      <c r="A13" t="s">
        <v>141</v>
      </c>
      <c r="B13">
        <v>8.27</v>
      </c>
      <c r="C13">
        <f>D13*0.75</f>
        <v>6549.4093539054957</v>
      </c>
      <c r="D13">
        <f>(365*3000000*B13)/(1037*1000)</f>
        <v>8732.5458052073282</v>
      </c>
      <c r="E13">
        <f>(365*3000000*B13)/(1037*1000)</f>
        <v>8732.5458052073282</v>
      </c>
      <c r="F13">
        <f>(365*3000000*B13)/(1037*1000)</f>
        <v>8732.5458052073282</v>
      </c>
      <c r="G13">
        <f>(365*3000000*B13)/(1037*1000)</f>
        <v>8732.5458052073282</v>
      </c>
      <c r="L13">
        <f>9*230</f>
        <v>2070</v>
      </c>
      <c r="M13">
        <f>12*230</f>
        <v>2760</v>
      </c>
      <c r="N13">
        <f t="shared" ref="N13:P13" si="2">12*230</f>
        <v>2760</v>
      </c>
      <c r="O13">
        <f t="shared" si="2"/>
        <v>2760</v>
      </c>
      <c r="P13">
        <f t="shared" si="2"/>
        <v>2760</v>
      </c>
      <c r="Q13" t="s">
        <v>250</v>
      </c>
    </row>
    <row r="14" spans="1:18" x14ac:dyDescent="0.3">
      <c r="A14" t="s">
        <v>559</v>
      </c>
    </row>
    <row r="15" spans="1:18" x14ac:dyDescent="0.3">
      <c r="A15" t="s">
        <v>142</v>
      </c>
      <c r="B15" t="s">
        <v>144</v>
      </c>
      <c r="G15" t="s">
        <v>447</v>
      </c>
      <c r="H15" t="s">
        <v>534</v>
      </c>
      <c r="K15" s="64" t="s">
        <v>248</v>
      </c>
      <c r="L15" t="s">
        <v>76</v>
      </c>
      <c r="M15" t="s">
        <v>77</v>
      </c>
      <c r="N15" t="s">
        <v>78</v>
      </c>
      <c r="O15" t="s">
        <v>79</v>
      </c>
      <c r="P15" t="s">
        <v>80</v>
      </c>
    </row>
    <row r="16" spans="1:18" x14ac:dyDescent="0.3">
      <c r="A16" t="s">
        <v>143</v>
      </c>
      <c r="B16" t="s">
        <v>145</v>
      </c>
      <c r="G16" t="s">
        <v>446</v>
      </c>
      <c r="H16">
        <f>55000*28</f>
        <v>1540000</v>
      </c>
      <c r="K16" t="s">
        <v>251</v>
      </c>
      <c r="L16">
        <f>200*9</f>
        <v>1800</v>
      </c>
      <c r="M16">
        <f>200*12</f>
        <v>2400</v>
      </c>
      <c r="N16">
        <f t="shared" ref="N16:P16" si="3">200*12</f>
        <v>2400</v>
      </c>
      <c r="O16">
        <f t="shared" si="3"/>
        <v>2400</v>
      </c>
      <c r="P16">
        <f t="shared" si="3"/>
        <v>2400</v>
      </c>
      <c r="Q16" t="s">
        <v>249</v>
      </c>
      <c r="R16" t="s">
        <v>252</v>
      </c>
    </row>
    <row r="17" spans="1:19" x14ac:dyDescent="0.3">
      <c r="B17" t="s">
        <v>146</v>
      </c>
      <c r="Q17" t="s">
        <v>276</v>
      </c>
    </row>
    <row r="18" spans="1:19" x14ac:dyDescent="0.3">
      <c r="A18" s="206" t="s">
        <v>558</v>
      </c>
    </row>
    <row r="19" spans="1:19" x14ac:dyDescent="0.3">
      <c r="A19" t="s">
        <v>560</v>
      </c>
    </row>
    <row r="21" spans="1:19" ht="16.2" x14ac:dyDescent="0.3">
      <c r="A21" s="64" t="s">
        <v>147</v>
      </c>
      <c r="B21" t="s">
        <v>138</v>
      </c>
      <c r="C21" t="s">
        <v>76</v>
      </c>
      <c r="D21" t="s">
        <v>77</v>
      </c>
      <c r="E21" t="s">
        <v>78</v>
      </c>
      <c r="F21" t="s">
        <v>79</v>
      </c>
      <c r="G21" t="s">
        <v>80</v>
      </c>
      <c r="K21" t="s">
        <v>253</v>
      </c>
      <c r="L21" t="s">
        <v>254</v>
      </c>
      <c r="P21" t="s">
        <v>255</v>
      </c>
    </row>
    <row r="22" spans="1:19" x14ac:dyDescent="0.3">
      <c r="B22">
        <v>6</v>
      </c>
      <c r="C22">
        <f>D22*0.75</f>
        <v>4751.6875602700093</v>
      </c>
      <c r="D22">
        <f>(365*3000000*B22)/(1037*1000)</f>
        <v>6335.5834136933463</v>
      </c>
      <c r="E22">
        <f>(365*3000000*$B22)/(1037*1000)</f>
        <v>6335.5834136933463</v>
      </c>
      <c r="F22">
        <f>(365*3000000*$B22)/(1037*1000)</f>
        <v>6335.5834136933463</v>
      </c>
      <c r="G22">
        <f>(365*3000000*$B22)/(1037*1000)</f>
        <v>6335.5834136933463</v>
      </c>
      <c r="K22" t="s">
        <v>245</v>
      </c>
      <c r="L22" t="s">
        <v>254</v>
      </c>
    </row>
    <row r="23" spans="1:19" x14ac:dyDescent="0.3">
      <c r="N23" t="s">
        <v>76</v>
      </c>
      <c r="O23" t="s">
        <v>77</v>
      </c>
      <c r="P23" t="s">
        <v>78</v>
      </c>
      <c r="Q23" t="s">
        <v>79</v>
      </c>
      <c r="R23" t="s">
        <v>80</v>
      </c>
      <c r="S23" t="s">
        <v>257</v>
      </c>
    </row>
    <row r="24" spans="1:19" x14ac:dyDescent="0.3">
      <c r="A24" t="s">
        <v>437</v>
      </c>
      <c r="K24" s="64" t="s">
        <v>256</v>
      </c>
      <c r="M24" t="s">
        <v>253</v>
      </c>
      <c r="N24">
        <f>O24*(10/12)</f>
        <v>10477.700000000001</v>
      </c>
      <c r="O24">
        <v>12573.24</v>
      </c>
      <c r="P24">
        <v>12573.24</v>
      </c>
      <c r="Q24">
        <v>12573.24</v>
      </c>
      <c r="R24">
        <v>12573.24</v>
      </c>
      <c r="S24" t="s">
        <v>258</v>
      </c>
    </row>
    <row r="25" spans="1:19" x14ac:dyDescent="0.3">
      <c r="M25" t="s">
        <v>245</v>
      </c>
      <c r="N25">
        <f>O25*(10/12)</f>
        <v>10477.700000000001</v>
      </c>
      <c r="O25">
        <v>12573.24</v>
      </c>
      <c r="P25">
        <v>12573.24</v>
      </c>
      <c r="Q25">
        <v>12573.24</v>
      </c>
      <c r="R25">
        <v>12573.24</v>
      </c>
      <c r="S25" t="s">
        <v>258</v>
      </c>
    </row>
    <row r="26" spans="1:19" x14ac:dyDescent="0.3">
      <c r="A26" s="64" t="s">
        <v>456</v>
      </c>
      <c r="C26" t="s">
        <v>76</v>
      </c>
      <c r="D26" t="s">
        <v>77</v>
      </c>
      <c r="E26" t="s">
        <v>78</v>
      </c>
      <c r="F26" t="s">
        <v>79</v>
      </c>
      <c r="G26" t="s">
        <v>80</v>
      </c>
    </row>
    <row r="27" spans="1:19" x14ac:dyDescent="0.3">
      <c r="A27" t="s">
        <v>457</v>
      </c>
      <c r="C27">
        <f>D27/2</f>
        <v>1586</v>
      </c>
      <c r="D27">
        <v>3172</v>
      </c>
      <c r="E27">
        <v>3172</v>
      </c>
      <c r="F27">
        <v>3172</v>
      </c>
      <c r="G27">
        <v>3172</v>
      </c>
      <c r="H27" t="s">
        <v>461</v>
      </c>
      <c r="K27" t="s">
        <v>259</v>
      </c>
    </row>
    <row r="28" spans="1:19" x14ac:dyDescent="0.3">
      <c r="A28" t="s">
        <v>458</v>
      </c>
      <c r="C28">
        <f>D28/2</f>
        <v>1586</v>
      </c>
      <c r="D28">
        <v>3172</v>
      </c>
      <c r="E28">
        <v>3172</v>
      </c>
      <c r="F28">
        <v>3172</v>
      </c>
      <c r="G28">
        <v>3172</v>
      </c>
      <c r="H28" t="s">
        <v>461</v>
      </c>
    </row>
    <row r="29" spans="1:19" x14ac:dyDescent="0.3">
      <c r="A29" t="s">
        <v>459</v>
      </c>
      <c r="K29" t="s">
        <v>261</v>
      </c>
    </row>
    <row r="30" spans="1:19" x14ac:dyDescent="0.3">
      <c r="A30" t="s">
        <v>460</v>
      </c>
      <c r="K30" t="s">
        <v>260</v>
      </c>
    </row>
    <row r="32" spans="1:19" x14ac:dyDescent="0.3">
      <c r="A32" t="s">
        <v>462</v>
      </c>
      <c r="L32" t="s">
        <v>262</v>
      </c>
    </row>
    <row r="33" spans="1:25" x14ac:dyDescent="0.3">
      <c r="A33" t="s">
        <v>463</v>
      </c>
    </row>
    <row r="34" spans="1:25" x14ac:dyDescent="0.3">
      <c r="A34" t="s">
        <v>464</v>
      </c>
      <c r="J34" s="64" t="s">
        <v>291</v>
      </c>
      <c r="L34" t="s">
        <v>76</v>
      </c>
      <c r="M34" t="s">
        <v>77</v>
      </c>
      <c r="N34" t="s">
        <v>78</v>
      </c>
      <c r="O34" t="s">
        <v>79</v>
      </c>
      <c r="P34" t="s">
        <v>80</v>
      </c>
      <c r="R34" t="s">
        <v>263</v>
      </c>
    </row>
    <row r="35" spans="1:25" x14ac:dyDescent="0.3">
      <c r="A35" t="s">
        <v>465</v>
      </c>
      <c r="K35" t="s">
        <v>244</v>
      </c>
      <c r="L35">
        <v>0</v>
      </c>
      <c r="M35">
        <v>24700</v>
      </c>
      <c r="N35">
        <v>54600</v>
      </c>
      <c r="O35">
        <v>60060</v>
      </c>
      <c r="P35">
        <v>66066</v>
      </c>
      <c r="Q35">
        <f>SUM(L35:P35)</f>
        <v>205426</v>
      </c>
      <c r="R35" t="s">
        <v>264</v>
      </c>
    </row>
    <row r="36" spans="1:25" x14ac:dyDescent="0.3">
      <c r="K36" t="s">
        <v>245</v>
      </c>
      <c r="L36">
        <v>0</v>
      </c>
      <c r="M36">
        <v>24700</v>
      </c>
      <c r="N36">
        <v>54600</v>
      </c>
      <c r="O36">
        <v>60060</v>
      </c>
      <c r="P36">
        <v>66066</v>
      </c>
      <c r="Q36">
        <f>SUM(L36:P36)</f>
        <v>205426</v>
      </c>
      <c r="R36" t="s">
        <v>535</v>
      </c>
    </row>
    <row r="37" spans="1:25" x14ac:dyDescent="0.3">
      <c r="A37" s="64" t="s">
        <v>467</v>
      </c>
      <c r="C37" t="s">
        <v>76</v>
      </c>
      <c r="D37" t="s">
        <v>77</v>
      </c>
      <c r="E37" t="s">
        <v>78</v>
      </c>
      <c r="F37" t="s">
        <v>79</v>
      </c>
      <c r="G37" t="s">
        <v>80</v>
      </c>
    </row>
    <row r="38" spans="1:25" x14ac:dyDescent="0.3">
      <c r="A38" t="s">
        <v>468</v>
      </c>
      <c r="C38" s="199">
        <f>0.063*(SUM(SBBS!C4:C5))</f>
        <v>535500</v>
      </c>
      <c r="D38" s="199">
        <f>0.063*(SUM(SBBS!D4:D5))</f>
        <v>283500</v>
      </c>
      <c r="E38" s="199">
        <f>0.063*(SUM(SBBS!E4:E5))</f>
        <v>75600</v>
      </c>
      <c r="F38" s="199">
        <f>0.063*(SUM(SBBS!F4:F5))</f>
        <v>75600</v>
      </c>
      <c r="G38" s="199">
        <f>0.063*(SUM(SBBS!G4:G5))</f>
        <v>0</v>
      </c>
      <c r="H38" s="199">
        <f>SUM(C38:F38)</f>
        <v>970200</v>
      </c>
      <c r="K38" t="s">
        <v>265</v>
      </c>
      <c r="L38">
        <v>0</v>
      </c>
      <c r="M38">
        <f>0.06*'General balance sheet'!M4</f>
        <v>1140000</v>
      </c>
      <c r="N38">
        <f>0.06*'General balance sheet'!N4</f>
        <v>2520000</v>
      </c>
      <c r="O38">
        <f>0.06*'General balance sheet'!O4</f>
        <v>2772000.0000000005</v>
      </c>
      <c r="P38">
        <f>0.06*'General balance sheet'!P4</f>
        <v>3049200.0000000009</v>
      </c>
      <c r="R38" t="s">
        <v>266</v>
      </c>
    </row>
    <row r="39" spans="1:25" x14ac:dyDescent="0.3">
      <c r="A39" t="s">
        <v>469</v>
      </c>
      <c r="C39" s="199">
        <f>0.053*(SUM(WinBS!C4:C5))</f>
        <v>450500</v>
      </c>
      <c r="D39" s="199">
        <f>0.053*(SUM(WinBS!D4:D5))</f>
        <v>238500</v>
      </c>
      <c r="E39" s="199">
        <f>0.053*(SUM(WinBS!E4:E5))</f>
        <v>63600</v>
      </c>
      <c r="F39" s="199">
        <f>0.053*(SUM(WinBS!F4:F5))</f>
        <v>63600</v>
      </c>
      <c r="G39" s="199">
        <f>0.053*(SUM(WinBS!G4:G5))</f>
        <v>0</v>
      </c>
      <c r="H39" s="199">
        <f>SUM(C39:F39)</f>
        <v>816200</v>
      </c>
    </row>
    <row r="40" spans="1:25" x14ac:dyDescent="0.3">
      <c r="S40" t="s">
        <v>267</v>
      </c>
      <c r="Y40" t="s">
        <v>268</v>
      </c>
    </row>
    <row r="42" spans="1:25" x14ac:dyDescent="0.3">
      <c r="A42" s="64" t="s">
        <v>470</v>
      </c>
      <c r="C42" t="s">
        <v>76</v>
      </c>
      <c r="D42" t="s">
        <v>77</v>
      </c>
      <c r="E42" t="s">
        <v>78</v>
      </c>
      <c r="F42" t="s">
        <v>79</v>
      </c>
      <c r="G42" t="s">
        <v>80</v>
      </c>
    </row>
    <row r="43" spans="1:25" x14ac:dyDescent="0.3">
      <c r="A43" t="s">
        <v>478</v>
      </c>
      <c r="C43">
        <f>WinBS!J8*(4/8760)</f>
        <v>0</v>
      </c>
      <c r="D43">
        <f>(SBBS!K8)*(4/8760)</f>
        <v>8675.7990867579902</v>
      </c>
      <c r="E43">
        <f>(SBBS!L8)*(4/8760)</f>
        <v>19178.082191780821</v>
      </c>
      <c r="F43">
        <f>(SBBS!M8)*(4/8760)</f>
        <v>21095.890410958906</v>
      </c>
      <c r="G43">
        <f>(SBBS!N8)*(4/8760)</f>
        <v>23205.479452054802</v>
      </c>
      <c r="M43" t="s">
        <v>244</v>
      </c>
      <c r="N43" t="s">
        <v>245</v>
      </c>
    </row>
    <row r="44" spans="1:25" x14ac:dyDescent="0.3">
      <c r="A44" t="s">
        <v>477</v>
      </c>
      <c r="C44">
        <v>0</v>
      </c>
      <c r="D44">
        <f>(WinBS!K8)*(6/8760)</f>
        <v>13013.698630136987</v>
      </c>
      <c r="E44">
        <f>(WinBS!L8)*(8/8760)</f>
        <v>38356.164383561641</v>
      </c>
      <c r="F44">
        <f>(WinBS!M8)*(6/8760)</f>
        <v>31643.835616438362</v>
      </c>
      <c r="G44">
        <f>(WinBS!N8)*(6/8760)</f>
        <v>34808.219178082203</v>
      </c>
      <c r="L44" t="s">
        <v>556</v>
      </c>
      <c r="M44">
        <f>SUM(C13:G13)</f>
        <v>41479.592574734808</v>
      </c>
      <c r="N44">
        <f>SUM(C22:G22)</f>
        <v>30094.021215043394</v>
      </c>
    </row>
    <row r="45" spans="1:25" x14ac:dyDescent="0.3">
      <c r="L45" t="s">
        <v>111</v>
      </c>
      <c r="M45">
        <f>SUM(L4:P4)</f>
        <v>45944.375</v>
      </c>
      <c r="N45">
        <f>SUM(L8:P8)</f>
        <v>61548.125</v>
      </c>
    </row>
    <row r="46" spans="1:25" x14ac:dyDescent="0.3">
      <c r="A46" t="s">
        <v>475</v>
      </c>
      <c r="L46" t="s">
        <v>110</v>
      </c>
      <c r="M46" s="47">
        <f>SUM(C4:G4)</f>
        <v>210444</v>
      </c>
      <c r="N46" s="47">
        <f>SUM(C9:G9)</f>
        <v>273873.59999999998</v>
      </c>
    </row>
    <row r="47" spans="1:25" x14ac:dyDescent="0.3">
      <c r="A47" t="s">
        <v>476</v>
      </c>
      <c r="L47" t="s">
        <v>557</v>
      </c>
      <c r="M47">
        <f>SUM(L13:P13)</f>
        <v>13110</v>
      </c>
      <c r="N47">
        <f>SUM(L16:P16)</f>
        <v>11400</v>
      </c>
    </row>
    <row r="48" spans="1:25" x14ac:dyDescent="0.3">
      <c r="A48" t="s">
        <v>480</v>
      </c>
    </row>
    <row r="49" spans="1:1" x14ac:dyDescent="0.3">
      <c r="A49" t="s">
        <v>479</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A49F-97A1-4D32-82B7-87A2EABF9A6A}">
  <dimension ref="A1:R21"/>
  <sheetViews>
    <sheetView workbookViewId="0">
      <selection activeCell="H16" sqref="H16"/>
    </sheetView>
  </sheetViews>
  <sheetFormatPr defaultRowHeight="14.4" x14ac:dyDescent="0.3"/>
  <cols>
    <col min="1" max="1" width="17.109375" customWidth="1"/>
    <col min="3" max="3" width="10.21875" customWidth="1"/>
    <col min="4" max="4" width="10.44140625" customWidth="1"/>
  </cols>
  <sheetData>
    <row r="1" spans="1:18" s="46" customFormat="1" ht="57.6" x14ac:dyDescent="0.3">
      <c r="A1" s="46" t="s">
        <v>162</v>
      </c>
      <c r="B1" s="46" t="s">
        <v>163</v>
      </c>
      <c r="C1" s="46" t="s">
        <v>164</v>
      </c>
      <c r="D1" s="46" t="s">
        <v>172</v>
      </c>
      <c r="E1" s="46" t="s">
        <v>177</v>
      </c>
      <c r="F1" s="46" t="s">
        <v>536</v>
      </c>
      <c r="G1" s="46" t="s">
        <v>178</v>
      </c>
      <c r="H1" s="46" t="s">
        <v>166</v>
      </c>
      <c r="I1" s="46" t="s">
        <v>165</v>
      </c>
      <c r="J1" s="46" t="s">
        <v>167</v>
      </c>
      <c r="K1" s="46" t="s">
        <v>168</v>
      </c>
      <c r="L1" s="46" t="s">
        <v>149</v>
      </c>
      <c r="N1" s="46" t="s">
        <v>188</v>
      </c>
    </row>
    <row r="2" spans="1:18" x14ac:dyDescent="0.3">
      <c r="A2" t="s">
        <v>186</v>
      </c>
      <c r="B2" t="s">
        <v>180</v>
      </c>
      <c r="C2">
        <v>50000</v>
      </c>
      <c r="D2">
        <v>2020</v>
      </c>
      <c r="E2" t="s">
        <v>183</v>
      </c>
      <c r="F2">
        <f>4500000/50000</f>
        <v>90</v>
      </c>
      <c r="G2" t="s">
        <v>179</v>
      </c>
      <c r="J2" t="s">
        <v>176</v>
      </c>
    </row>
    <row r="3" spans="1:18" x14ac:dyDescent="0.3">
      <c r="A3" s="48" t="s">
        <v>189</v>
      </c>
      <c r="B3" t="s">
        <v>190</v>
      </c>
      <c r="C3">
        <v>13000</v>
      </c>
      <c r="D3">
        <v>1968</v>
      </c>
      <c r="E3" t="s">
        <v>192</v>
      </c>
      <c r="F3">
        <f>2454000/13000</f>
        <v>188.76923076923077</v>
      </c>
      <c r="G3" t="s">
        <v>191</v>
      </c>
      <c r="J3" t="s">
        <v>187</v>
      </c>
      <c r="L3" t="s">
        <v>193</v>
      </c>
    </row>
    <row r="4" spans="1:18" x14ac:dyDescent="0.3">
      <c r="A4" t="s">
        <v>195</v>
      </c>
      <c r="B4" t="s">
        <v>196</v>
      </c>
      <c r="C4">
        <v>353000</v>
      </c>
      <c r="D4">
        <v>1948</v>
      </c>
      <c r="F4">
        <f>8000000/353000</f>
        <v>22.662889518413596</v>
      </c>
      <c r="G4" t="s">
        <v>198</v>
      </c>
      <c r="J4" t="s">
        <v>194</v>
      </c>
    </row>
    <row r="6" spans="1:18" x14ac:dyDescent="0.3">
      <c r="A6" t="s">
        <v>185</v>
      </c>
      <c r="B6" t="s">
        <v>169</v>
      </c>
      <c r="C6" t="s">
        <v>537</v>
      </c>
      <c r="D6">
        <v>2008</v>
      </c>
      <c r="E6" t="s">
        <v>182</v>
      </c>
      <c r="G6" s="62" t="s">
        <v>197</v>
      </c>
      <c r="K6" t="s">
        <v>176</v>
      </c>
      <c r="L6" t="s">
        <v>181</v>
      </c>
    </row>
    <row r="7" spans="1:18" x14ac:dyDescent="0.3">
      <c r="A7" t="s">
        <v>170</v>
      </c>
      <c r="B7" t="s">
        <v>169</v>
      </c>
      <c r="C7" t="s">
        <v>175</v>
      </c>
      <c r="D7">
        <v>2023</v>
      </c>
      <c r="E7" s="61">
        <v>8.25</v>
      </c>
      <c r="G7" s="61"/>
      <c r="H7" t="s">
        <v>173</v>
      </c>
      <c r="I7" t="s">
        <v>174</v>
      </c>
      <c r="K7" t="s">
        <v>171</v>
      </c>
      <c r="L7" t="s">
        <v>184</v>
      </c>
    </row>
    <row r="8" spans="1:18" x14ac:dyDescent="0.3">
      <c r="A8" t="s">
        <v>200</v>
      </c>
      <c r="C8">
        <v>50000</v>
      </c>
      <c r="D8">
        <v>1999</v>
      </c>
      <c r="F8">
        <f>4250000/50000</f>
        <v>85</v>
      </c>
      <c r="G8" t="s">
        <v>201</v>
      </c>
      <c r="K8" t="s">
        <v>199</v>
      </c>
    </row>
    <row r="10" spans="1:18" x14ac:dyDescent="0.3">
      <c r="L10" t="s">
        <v>445</v>
      </c>
    </row>
    <row r="12" spans="1:18" x14ac:dyDescent="0.3">
      <c r="L12" t="s">
        <v>312</v>
      </c>
    </row>
    <row r="13" spans="1:18" x14ac:dyDescent="0.3">
      <c r="B13" t="s">
        <v>22</v>
      </c>
      <c r="C13" t="s">
        <v>218</v>
      </c>
      <c r="E13" t="s">
        <v>76</v>
      </c>
      <c r="F13" t="s">
        <v>77</v>
      </c>
      <c r="G13" t="s">
        <v>78</v>
      </c>
      <c r="H13" t="s">
        <v>79</v>
      </c>
      <c r="I13" t="s">
        <v>80</v>
      </c>
      <c r="L13" s="67" t="s">
        <v>426</v>
      </c>
    </row>
    <row r="14" spans="1:18" x14ac:dyDescent="0.3">
      <c r="A14" t="s">
        <v>244</v>
      </c>
      <c r="B14" t="s">
        <v>219</v>
      </c>
      <c r="C14">
        <v>2.5</v>
      </c>
      <c r="E14">
        <f>(4*50000)*(10/12)</f>
        <v>166666.66666666669</v>
      </c>
      <c r="F14">
        <f>220000*1.025</f>
        <v>225499.99999999997</v>
      </c>
      <c r="G14">
        <f t="shared" ref="G14:I14" si="0">F14*1.025</f>
        <v>231137.49999999994</v>
      </c>
      <c r="H14">
        <f t="shared" si="0"/>
        <v>236915.93749999991</v>
      </c>
      <c r="I14">
        <f t="shared" si="0"/>
        <v>242838.83593749988</v>
      </c>
      <c r="M14" t="s">
        <v>313</v>
      </c>
      <c r="N14" t="s">
        <v>76</v>
      </c>
      <c r="O14" t="s">
        <v>77</v>
      </c>
      <c r="P14" t="s">
        <v>78</v>
      </c>
      <c r="Q14" t="s">
        <v>79</v>
      </c>
      <c r="R14" t="s">
        <v>80</v>
      </c>
    </row>
    <row r="15" spans="1:18" x14ac:dyDescent="0.3">
      <c r="A15" t="s">
        <v>245</v>
      </c>
      <c r="B15" t="s">
        <v>220</v>
      </c>
      <c r="C15">
        <v>2.5</v>
      </c>
      <c r="D15" t="s">
        <v>221</v>
      </c>
      <c r="E15">
        <f>4.75*55208*(5/6)</f>
        <v>218531.66666666669</v>
      </c>
      <c r="F15">
        <f>4.75*55208*1.025</f>
        <v>268793.94999999995</v>
      </c>
      <c r="G15">
        <f t="shared" ref="G15:I15" si="1">F15*1.025</f>
        <v>275513.7987499999</v>
      </c>
      <c r="H15">
        <f t="shared" si="1"/>
        <v>282401.64371874987</v>
      </c>
      <c r="I15">
        <f t="shared" si="1"/>
        <v>289461.68481171859</v>
      </c>
      <c r="L15" t="s">
        <v>244</v>
      </c>
      <c r="N15">
        <f>(1.131*1.08)/(10.8)*55000</f>
        <v>6220.5</v>
      </c>
      <c r="O15">
        <f t="shared" ref="O15:R16" si="2">(1.131*1.08)/(10.8)*55000</f>
        <v>6220.5</v>
      </c>
      <c r="P15">
        <f t="shared" si="2"/>
        <v>6220.5</v>
      </c>
      <c r="Q15">
        <f t="shared" si="2"/>
        <v>6220.5</v>
      </c>
      <c r="R15">
        <f t="shared" si="2"/>
        <v>6220.5</v>
      </c>
    </row>
    <row r="16" spans="1:18" x14ac:dyDescent="0.3">
      <c r="A16" t="s">
        <v>216</v>
      </c>
      <c r="L16" t="s">
        <v>245</v>
      </c>
      <c r="N16">
        <f t="shared" ref="N16" si="3">(1.131*1.08)/(10.8)*55000</f>
        <v>6220.5</v>
      </c>
      <c r="O16">
        <f t="shared" si="2"/>
        <v>6220.5</v>
      </c>
      <c r="P16">
        <f t="shared" si="2"/>
        <v>6220.5</v>
      </c>
      <c r="Q16">
        <f t="shared" si="2"/>
        <v>6220.5</v>
      </c>
      <c r="R16">
        <f t="shared" si="2"/>
        <v>6220.5</v>
      </c>
    </row>
    <row r="18" spans="1:13" x14ac:dyDescent="0.3">
      <c r="M18" t="s">
        <v>444</v>
      </c>
    </row>
    <row r="20" spans="1:13" x14ac:dyDescent="0.3">
      <c r="A20" t="s">
        <v>215</v>
      </c>
    </row>
    <row r="21" spans="1:13" x14ac:dyDescent="0.3">
      <c r="A21" t="s">
        <v>213</v>
      </c>
    </row>
  </sheetData>
  <hyperlinks>
    <hyperlink ref="A3" r:id="rId1" xr:uid="{36DCAE78-0DC0-4408-B484-DEABEEA3612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A25529F19A7A49A1C5606003F75C6D" ma:contentTypeVersion="16" ma:contentTypeDescription="Create a new document." ma:contentTypeScope="" ma:versionID="d10c42e551def9dc47b8d849bc662f72">
  <xsd:schema xmlns:xsd="http://www.w3.org/2001/XMLSchema" xmlns:xs="http://www.w3.org/2001/XMLSchema" xmlns:p="http://schemas.microsoft.com/office/2006/metadata/properties" xmlns:ns2="fb1729a2-b390-4740-9138-47bc6d78c4c0" xmlns:ns3="e85f8a79-ad55-481d-bdd9-ce45ec0bf9a1" targetNamespace="http://schemas.microsoft.com/office/2006/metadata/properties" ma:root="true" ma:fieldsID="352e04958ef99a368cbb565c8632bbc0" ns2:_="" ns3:_="">
    <xsd:import namespace="fb1729a2-b390-4740-9138-47bc6d78c4c0"/>
    <xsd:import namespace="e85f8a79-ad55-481d-bdd9-ce45ec0bf9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1729a2-b390-4740-9138-47bc6d78c4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4da0932-59c5-4a81-ad48-59f96276ee6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85f8a79-ad55-481d-bdd9-ce45ec0bf9a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0e4f764-16cb-41a3-8124-62d75c8a693a}" ma:internalName="TaxCatchAll" ma:showField="CatchAllData" ma:web="e85f8a79-ad55-481d-bdd9-ce45ec0bf9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85f8a79-ad55-481d-bdd9-ce45ec0bf9a1" xsi:nil="true"/>
    <lcf76f155ced4ddcb4097134ff3c332f xmlns="fb1729a2-b390-4740-9138-47bc6d78c4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2A7712-9D9D-4C99-A747-8BC7754EAC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1729a2-b390-4740-9138-47bc6d78c4c0"/>
    <ds:schemaRef ds:uri="e85f8a79-ad55-481d-bdd9-ce45ec0bf9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FC1D0D-399B-45A5-8613-869CE3DCCD1D}">
  <ds:schemaRefs>
    <ds:schemaRef ds:uri="http://schemas.microsoft.com/sharepoint/v3/contenttype/forms"/>
  </ds:schemaRefs>
</ds:datastoreItem>
</file>

<file path=customXml/itemProps3.xml><?xml version="1.0" encoding="utf-8"?>
<ds:datastoreItem xmlns:ds="http://schemas.openxmlformats.org/officeDocument/2006/customXml" ds:itemID="{38160417-8695-4BF6-BE82-8769EF72B2EB}">
  <ds:schemaRefs>
    <ds:schemaRef ds:uri="e85f8a79-ad55-481d-bdd9-ce45ec0bf9a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b1729a2-b390-4740-9138-47bc6d78c4c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IM - SoBo</vt:lpstr>
      <vt:lpstr>IM- Win</vt:lpstr>
      <vt:lpstr>Area charac</vt:lpstr>
      <vt:lpstr>General balance sheet</vt:lpstr>
      <vt:lpstr>SBBS</vt:lpstr>
      <vt:lpstr>WinBS</vt:lpstr>
      <vt:lpstr>Labor</vt:lpstr>
      <vt:lpstr>Utility Ins IncTax</vt:lpstr>
      <vt:lpstr>Real Estate</vt:lpstr>
      <vt:lpstr>Prop and sales tax</vt:lpstr>
      <vt:lpstr>Business lic perm</vt:lpstr>
      <vt:lpstr>Transp and Log</vt:lpstr>
      <vt:lpstr>Images</vt:lpstr>
      <vt:lpstr>'IM - SoBo'!Print_Area</vt:lpstr>
      <vt:lpstr>'IM- Win'!Print_Area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Business Analyst</dc:creator>
  <cp:lastModifiedBy>Marianne</cp:lastModifiedBy>
  <dcterms:created xsi:type="dcterms:W3CDTF">2020-12-31T01:16:11Z</dcterms:created>
  <dcterms:modified xsi:type="dcterms:W3CDTF">2023-03-23T03:21:01Z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0x01010079A25529F19A7A49A1C5606003F75C6D</vt:lpwstr>
  </property>
  <property fmtid="{D5CDD505-2E9C-101B-9397-08002B2CF9AE}" pid="3" name="MediaServiceImageTags">
    <vt:lpwstr/>
  </property>
  <property fmtid="{D5CDD505-2E9C-101B-9397-08002B2CF9AE}" pid="4" name="MSIP_Label_0ee3c538-ec52-435f-ae58-017644bd9513_Enabled">
    <vt:lpwstr>true</vt:lpwstr>
  </property>
  <property fmtid="{D5CDD505-2E9C-101B-9397-08002B2CF9AE}" pid="5" name="MSIP_Label_0ee3c538-ec52-435f-ae58-017644bd9513_SetDate">
    <vt:lpwstr>2023-03-13T19:35:36Z</vt:lpwstr>
  </property>
  <property fmtid="{D5CDD505-2E9C-101B-9397-08002B2CF9AE}" pid="6" name="MSIP_Label_0ee3c538-ec52-435f-ae58-017644bd9513_Method">
    <vt:lpwstr>Standard</vt:lpwstr>
  </property>
  <property fmtid="{D5CDD505-2E9C-101B-9397-08002B2CF9AE}" pid="7" name="MSIP_Label_0ee3c538-ec52-435f-ae58-017644bd9513_Name">
    <vt:lpwstr>0ee3c538-ec52-435f-ae58-017644bd9513</vt:lpwstr>
  </property>
  <property fmtid="{D5CDD505-2E9C-101B-9397-08002B2CF9AE}" pid="8" name="MSIP_Label_0ee3c538-ec52-435f-ae58-017644bd9513_SiteId">
    <vt:lpwstr>0cdcb198-8169-4b70-ba9f-da7e3ba700c2</vt:lpwstr>
  </property>
  <property fmtid="{D5CDD505-2E9C-101B-9397-08002B2CF9AE}" pid="9" name="MSIP_Label_0ee3c538-ec52-435f-ae58-017644bd9513_ActionId">
    <vt:lpwstr>d796f01b-b4ec-44ff-ae9e-ae6d207bef80</vt:lpwstr>
  </property>
  <property fmtid="{D5CDD505-2E9C-101B-9397-08002B2CF9AE}" pid="10" name="MSIP_Label_0ee3c538-ec52-435f-ae58-017644bd9513_ContentBits">
    <vt:lpwstr>0</vt:lpwstr>
  </property>
</Properties>
</file>