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ide\Downloads\"/>
    </mc:Choice>
  </mc:AlternateContent>
  <xr:revisionPtr revIDLastSave="0" documentId="13_ncr:1_{749E1800-32DD-4ED1-9284-A5B84D6A1750}" xr6:coauthVersionLast="47" xr6:coauthVersionMax="47" xr10:uidLastSave="{00000000-0000-0000-0000-000000000000}"/>
  <bookViews>
    <workbookView xWindow="-108" yWindow="-108" windowWidth="23256" windowHeight="13896" xr2:uid="{C4B3F223-1594-497F-80C3-750F0EA415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K25" i="1"/>
  <c r="K26" i="1"/>
  <c r="K27" i="1"/>
  <c r="K28" i="1"/>
  <c r="K29" i="1"/>
  <c r="K30" i="1"/>
  <c r="K31" i="1"/>
  <c r="K32" i="1"/>
  <c r="K33" i="1"/>
  <c r="K34" i="1"/>
  <c r="K35" i="1"/>
  <c r="K36" i="1"/>
  <c r="K24" i="1"/>
  <c r="K23" i="1"/>
  <c r="J2" i="1"/>
  <c r="J22" i="1"/>
  <c r="J21" i="1"/>
  <c r="J20" i="1"/>
  <c r="J19" i="1"/>
  <c r="J18" i="1"/>
  <c r="J17" i="1"/>
  <c r="J16" i="1"/>
  <c r="J15" i="1"/>
  <c r="J14" i="1"/>
  <c r="J13" i="1"/>
  <c r="J12" i="1"/>
  <c r="J11" i="1"/>
  <c r="K11" i="1"/>
  <c r="K12" i="1"/>
  <c r="K13" i="1"/>
  <c r="K14" i="1"/>
  <c r="K15" i="1"/>
  <c r="K16" i="1"/>
  <c r="K17" i="1"/>
  <c r="K18" i="1"/>
  <c r="K19" i="1"/>
  <c r="K20" i="1"/>
  <c r="K21" i="1"/>
  <c r="K22" i="1"/>
  <c r="J10" i="1"/>
  <c r="J9" i="1"/>
  <c r="J8" i="1"/>
  <c r="J7" i="1"/>
  <c r="J6" i="1"/>
  <c r="J5" i="1"/>
  <c r="K8" i="1"/>
  <c r="K9" i="1"/>
  <c r="K10" i="1"/>
  <c r="K5" i="1"/>
  <c r="K6" i="1"/>
  <c r="K7" i="1"/>
  <c r="J4" i="1"/>
  <c r="J3" i="1"/>
  <c r="K4" i="1"/>
  <c r="K3" i="1"/>
  <c r="K2" i="1"/>
</calcChain>
</file>

<file path=xl/sharedStrings.xml><?xml version="1.0" encoding="utf-8"?>
<sst xmlns="http://schemas.openxmlformats.org/spreadsheetml/2006/main" count="157" uniqueCount="26">
  <si>
    <t>Category</t>
  </si>
  <si>
    <t>Observed</t>
  </si>
  <si>
    <t>Expected</t>
  </si>
  <si>
    <t>Year</t>
  </si>
  <si>
    <t>Total_N</t>
  </si>
  <si>
    <t>Observational_Unit</t>
  </si>
  <si>
    <t>Ground</t>
  </si>
  <si>
    <t>Calf</t>
  </si>
  <si>
    <t>Yearling</t>
  </si>
  <si>
    <t>2Years</t>
  </si>
  <si>
    <t>Unclassified</t>
  </si>
  <si>
    <t>Ellesmere</t>
  </si>
  <si>
    <t>Analysis</t>
  </si>
  <si>
    <t>Age</t>
  </si>
  <si>
    <t>Air</t>
  </si>
  <si>
    <t>Axel Heiberg</t>
  </si>
  <si>
    <t>Sex</t>
  </si>
  <si>
    <t>Male</t>
  </si>
  <si>
    <t>Female</t>
  </si>
  <si>
    <t>Location</t>
  </si>
  <si>
    <t>Calc_Observed</t>
  </si>
  <si>
    <t>Calc_Expected</t>
  </si>
  <si>
    <t>ObservedMF</t>
  </si>
  <si>
    <t>ExpectedMF</t>
  </si>
  <si>
    <t>Total_NMF</t>
  </si>
  <si>
    <t>CategoryMF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</si>
</sst>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EFF2-9D8F-4A3B-95BC-908600D9867F}">
  <dimension ref="A1:Q36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2" max="2" width="5" bestFit="1" customWidth="1"/>
    <col min="3" max="3" width="16.5546875" bestFit="1" customWidth="1"/>
    <col min="4" max="5" width="16.5546875" customWidth="1"/>
    <col min="6" max="6" width="8.33203125" customWidth="1"/>
    <col min="7" max="7" width="9" bestFit="1" customWidth="1"/>
    <col min="8" max="8" width="8.77734375" bestFit="1" customWidth="1"/>
    <col min="9" max="9" width="8.77734375" customWidth="1"/>
    <col min="10" max="10" width="13.6640625" bestFit="1" customWidth="1"/>
    <col min="11" max="11" width="13.44140625" bestFit="1" customWidth="1"/>
    <col min="12" max="13" width="11.33203125" bestFit="1" customWidth="1"/>
    <col min="14" max="14" width="11.44140625" customWidth="1"/>
    <col min="15" max="16" width="11.44140625" bestFit="1" customWidth="1"/>
    <col min="17" max="17" width="11.21875" bestFit="1" customWidth="1"/>
  </cols>
  <sheetData>
    <row r="1" spans="1:17" s="1" customFormat="1" x14ac:dyDescent="0.3">
      <c r="A1" s="1" t="s">
        <v>12</v>
      </c>
      <c r="B1" s="1" t="s">
        <v>3</v>
      </c>
      <c r="C1" s="1" t="s">
        <v>5</v>
      </c>
      <c r="D1" s="1" t="s">
        <v>19</v>
      </c>
      <c r="E1" s="1" t="s">
        <v>0</v>
      </c>
      <c r="F1" s="1" t="s">
        <v>4</v>
      </c>
      <c r="G1" s="1" t="s">
        <v>1</v>
      </c>
      <c r="H1" s="1" t="s">
        <v>2</v>
      </c>
      <c r="J1" s="1" t="s">
        <v>20</v>
      </c>
      <c r="K1" s="1" t="s">
        <v>21</v>
      </c>
      <c r="L1" s="1" t="s">
        <v>10</v>
      </c>
      <c r="N1" s="1" t="s">
        <v>25</v>
      </c>
      <c r="O1" s="1" t="s">
        <v>24</v>
      </c>
      <c r="P1" s="1" t="s">
        <v>22</v>
      </c>
      <c r="Q1" s="1" t="s">
        <v>23</v>
      </c>
    </row>
    <row r="2" spans="1:17" x14ac:dyDescent="0.3">
      <c r="A2" t="s">
        <v>13</v>
      </c>
      <c r="B2">
        <v>2022</v>
      </c>
      <c r="C2" t="s">
        <v>6</v>
      </c>
      <c r="D2" t="s">
        <v>11</v>
      </c>
      <c r="E2" t="s">
        <v>7</v>
      </c>
      <c r="F2">
        <v>69</v>
      </c>
      <c r="G2" s="3">
        <v>2</v>
      </c>
      <c r="H2" s="3">
        <v>11</v>
      </c>
      <c r="I2" s="3"/>
      <c r="J2" s="2">
        <f>1+(L2*0.025)</f>
        <v>1.625</v>
      </c>
      <c r="K2">
        <f>F2*0.165</f>
        <v>11.385</v>
      </c>
      <c r="L2">
        <v>25</v>
      </c>
      <c r="N2" t="s">
        <v>17</v>
      </c>
      <c r="O2">
        <v>30</v>
      </c>
      <c r="P2">
        <v>20</v>
      </c>
      <c r="Q2">
        <v>13</v>
      </c>
    </row>
    <row r="3" spans="1:17" x14ac:dyDescent="0.3">
      <c r="A3" t="s">
        <v>13</v>
      </c>
      <c r="B3">
        <v>2022</v>
      </c>
      <c r="C3" t="s">
        <v>6</v>
      </c>
      <c r="D3" t="s">
        <v>11</v>
      </c>
      <c r="E3" t="s">
        <v>8</v>
      </c>
      <c r="F3">
        <v>69</v>
      </c>
      <c r="G3" s="3">
        <v>3</v>
      </c>
      <c r="H3" s="3">
        <v>8</v>
      </c>
      <c r="I3" s="3"/>
      <c r="J3" s="2">
        <f>1+(L3*0.075)</f>
        <v>2.875</v>
      </c>
      <c r="K3">
        <f>F3*0.112</f>
        <v>7.7279999999999998</v>
      </c>
      <c r="L3">
        <v>25</v>
      </c>
      <c r="N3" t="s">
        <v>18</v>
      </c>
      <c r="O3">
        <v>30</v>
      </c>
      <c r="P3">
        <v>10</v>
      </c>
      <c r="Q3">
        <v>17</v>
      </c>
    </row>
    <row r="4" spans="1:17" x14ac:dyDescent="0.3">
      <c r="A4" t="s">
        <v>13</v>
      </c>
      <c r="B4">
        <v>2022</v>
      </c>
      <c r="C4" t="s">
        <v>6</v>
      </c>
      <c r="D4" t="s">
        <v>11</v>
      </c>
      <c r="E4" t="s">
        <v>9</v>
      </c>
      <c r="F4">
        <v>69</v>
      </c>
      <c r="G4" s="3">
        <v>64</v>
      </c>
      <c r="H4" s="3">
        <v>50</v>
      </c>
      <c r="I4" s="3"/>
      <c r="J4" s="2">
        <f>42+(L4*0.9)</f>
        <v>64.5</v>
      </c>
      <c r="K4">
        <f>F4*0.718</f>
        <v>49.542000000000002</v>
      </c>
      <c r="L4">
        <v>25</v>
      </c>
    </row>
    <row r="5" spans="1:17" x14ac:dyDescent="0.3">
      <c r="A5" t="s">
        <v>13</v>
      </c>
      <c r="B5">
        <v>2023</v>
      </c>
      <c r="C5" t="s">
        <v>6</v>
      </c>
      <c r="D5" t="s">
        <v>11</v>
      </c>
      <c r="E5" t="s">
        <v>7</v>
      </c>
      <c r="F5">
        <v>92</v>
      </c>
      <c r="G5" s="3">
        <v>10</v>
      </c>
      <c r="H5" s="3">
        <v>15</v>
      </c>
      <c r="I5" s="3"/>
      <c r="J5" s="2">
        <f>10+(0.025*L5)</f>
        <v>10.025</v>
      </c>
      <c r="K5">
        <f>F5*0.165</f>
        <v>15.180000000000001</v>
      </c>
      <c r="L5">
        <v>1</v>
      </c>
    </row>
    <row r="6" spans="1:17" x14ac:dyDescent="0.3">
      <c r="A6" t="s">
        <v>13</v>
      </c>
      <c r="B6">
        <v>2023</v>
      </c>
      <c r="C6" t="s">
        <v>6</v>
      </c>
      <c r="D6" t="s">
        <v>11</v>
      </c>
      <c r="E6" t="s">
        <v>8</v>
      </c>
      <c r="F6">
        <v>92</v>
      </c>
      <c r="G6" s="3">
        <v>1</v>
      </c>
      <c r="H6" s="3">
        <v>11</v>
      </c>
      <c r="I6" s="3"/>
      <c r="J6" s="2">
        <f>1+(0.075*L6)</f>
        <v>1.075</v>
      </c>
      <c r="K6">
        <f>F6*0.112</f>
        <v>10.304</v>
      </c>
      <c r="L6">
        <v>1</v>
      </c>
    </row>
    <row r="7" spans="1:17" x14ac:dyDescent="0.3">
      <c r="A7" t="s">
        <v>13</v>
      </c>
      <c r="B7">
        <v>2023</v>
      </c>
      <c r="C7" t="s">
        <v>6</v>
      </c>
      <c r="D7" t="s">
        <v>11</v>
      </c>
      <c r="E7" t="s">
        <v>9</v>
      </c>
      <c r="F7">
        <v>92</v>
      </c>
      <c r="G7" s="3">
        <v>81</v>
      </c>
      <c r="H7" s="3">
        <v>66</v>
      </c>
      <c r="I7" s="3"/>
      <c r="J7" s="2">
        <f>80+(0.9*L7)</f>
        <v>80.900000000000006</v>
      </c>
      <c r="K7">
        <f>F7*0.718</f>
        <v>66.055999999999997</v>
      </c>
      <c r="L7">
        <v>1</v>
      </c>
    </row>
    <row r="8" spans="1:17" x14ac:dyDescent="0.3">
      <c r="A8" t="s">
        <v>13</v>
      </c>
      <c r="B8">
        <v>2024</v>
      </c>
      <c r="C8" t="s">
        <v>6</v>
      </c>
      <c r="D8" t="s">
        <v>11</v>
      </c>
      <c r="E8" t="s">
        <v>7</v>
      </c>
      <c r="F8">
        <v>142</v>
      </c>
      <c r="G8" s="3">
        <v>23</v>
      </c>
      <c r="H8" s="3">
        <v>24</v>
      </c>
      <c r="I8" s="3"/>
      <c r="J8" s="2">
        <f>22+(L8*0.025)</f>
        <v>22.65</v>
      </c>
      <c r="K8">
        <f>F8*0.165</f>
        <v>23.43</v>
      </c>
      <c r="L8">
        <v>26</v>
      </c>
    </row>
    <row r="9" spans="1:17" x14ac:dyDescent="0.3">
      <c r="A9" t="s">
        <v>13</v>
      </c>
      <c r="B9">
        <v>2024</v>
      </c>
      <c r="C9" t="s">
        <v>6</v>
      </c>
      <c r="D9" t="s">
        <v>11</v>
      </c>
      <c r="E9" t="s">
        <v>8</v>
      </c>
      <c r="F9">
        <v>142</v>
      </c>
      <c r="G9" s="3">
        <v>19</v>
      </c>
      <c r="H9" s="3">
        <v>16</v>
      </c>
      <c r="I9" s="3"/>
      <c r="J9" s="2">
        <f>17+(L9*0.075)</f>
        <v>18.95</v>
      </c>
      <c r="K9">
        <f>F9*0.112</f>
        <v>15.904</v>
      </c>
      <c r="L9">
        <v>26</v>
      </c>
    </row>
    <row r="10" spans="1:17" x14ac:dyDescent="0.3">
      <c r="A10" t="s">
        <v>13</v>
      </c>
      <c r="B10">
        <v>2024</v>
      </c>
      <c r="C10" t="s">
        <v>6</v>
      </c>
      <c r="D10" t="s">
        <v>11</v>
      </c>
      <c r="E10" t="s">
        <v>9</v>
      </c>
      <c r="F10">
        <v>142</v>
      </c>
      <c r="G10" s="3">
        <v>100</v>
      </c>
      <c r="H10" s="3">
        <v>102</v>
      </c>
      <c r="I10" s="3"/>
      <c r="J10" s="2">
        <f>77+(0.9*L10)</f>
        <v>100.4</v>
      </c>
      <c r="K10">
        <f>F10*0.718</f>
        <v>101.95599999999999</v>
      </c>
      <c r="L10">
        <v>26</v>
      </c>
    </row>
    <row r="11" spans="1:17" x14ac:dyDescent="0.3">
      <c r="A11" t="s">
        <v>13</v>
      </c>
      <c r="B11">
        <v>2022</v>
      </c>
      <c r="C11" t="s">
        <v>14</v>
      </c>
      <c r="D11" t="s">
        <v>11</v>
      </c>
      <c r="E11" t="s">
        <v>7</v>
      </c>
      <c r="F11">
        <v>397</v>
      </c>
      <c r="G11" s="3">
        <v>9</v>
      </c>
      <c r="H11" s="3">
        <v>66</v>
      </c>
      <c r="I11" s="3"/>
      <c r="J11" s="2">
        <f>9+(L11*0.025)</f>
        <v>9.5500000000000007</v>
      </c>
      <c r="K11">
        <f t="shared" ref="K11" si="0">F11*0.165</f>
        <v>65.50500000000001</v>
      </c>
      <c r="L11">
        <v>22</v>
      </c>
    </row>
    <row r="12" spans="1:17" x14ac:dyDescent="0.3">
      <c r="A12" t="s">
        <v>13</v>
      </c>
      <c r="B12">
        <v>2022</v>
      </c>
      <c r="C12" t="s">
        <v>14</v>
      </c>
      <c r="D12" t="s">
        <v>11</v>
      </c>
      <c r="E12" t="s">
        <v>8</v>
      </c>
      <c r="F12">
        <v>397</v>
      </c>
      <c r="G12" s="3">
        <v>9</v>
      </c>
      <c r="H12" s="3">
        <v>45</v>
      </c>
      <c r="I12" s="3"/>
      <c r="J12" s="2">
        <f>7+(L12*0.075)</f>
        <v>8.65</v>
      </c>
      <c r="K12">
        <f t="shared" ref="K12" si="1">F12*0.112</f>
        <v>44.463999999999999</v>
      </c>
      <c r="L12">
        <v>22</v>
      </c>
    </row>
    <row r="13" spans="1:17" x14ac:dyDescent="0.3">
      <c r="A13" t="s">
        <v>13</v>
      </c>
      <c r="B13">
        <v>2022</v>
      </c>
      <c r="C13" t="s">
        <v>14</v>
      </c>
      <c r="D13" t="s">
        <v>11</v>
      </c>
      <c r="E13" t="s">
        <v>9</v>
      </c>
      <c r="F13">
        <v>397</v>
      </c>
      <c r="G13" s="3">
        <v>379</v>
      </c>
      <c r="H13" s="3">
        <v>286</v>
      </c>
      <c r="I13" s="3"/>
      <c r="J13" s="2">
        <f>359+(L13*0.9)</f>
        <v>378.8</v>
      </c>
      <c r="K13">
        <f t="shared" ref="K13" si="2">F13*0.718</f>
        <v>285.04599999999999</v>
      </c>
      <c r="L13">
        <v>22</v>
      </c>
    </row>
    <row r="14" spans="1:17" x14ac:dyDescent="0.3">
      <c r="A14" t="s">
        <v>13</v>
      </c>
      <c r="B14">
        <v>2023</v>
      </c>
      <c r="C14" t="s">
        <v>14</v>
      </c>
      <c r="D14" t="s">
        <v>11</v>
      </c>
      <c r="E14" t="s">
        <v>7</v>
      </c>
      <c r="F14">
        <v>408</v>
      </c>
      <c r="G14" s="3">
        <v>45</v>
      </c>
      <c r="H14" s="3">
        <v>68</v>
      </c>
      <c r="I14" s="3"/>
      <c r="J14" s="2">
        <f>39+(L14*0.025)</f>
        <v>44.45</v>
      </c>
      <c r="K14">
        <f t="shared" ref="K14" si="3">F14*0.165</f>
        <v>67.320000000000007</v>
      </c>
      <c r="L14">
        <v>218</v>
      </c>
    </row>
    <row r="15" spans="1:17" x14ac:dyDescent="0.3">
      <c r="A15" t="s">
        <v>13</v>
      </c>
      <c r="B15">
        <v>2023</v>
      </c>
      <c r="C15" t="s">
        <v>14</v>
      </c>
      <c r="D15" t="s">
        <v>11</v>
      </c>
      <c r="E15" t="s">
        <v>8</v>
      </c>
      <c r="F15">
        <v>408</v>
      </c>
      <c r="G15" s="3">
        <v>35</v>
      </c>
      <c r="H15" s="3">
        <v>47</v>
      </c>
      <c r="I15" s="3"/>
      <c r="J15" s="2">
        <f>19+(L15*0.075)</f>
        <v>35.349999999999994</v>
      </c>
      <c r="K15">
        <f t="shared" ref="K15" si="4">F15*0.112</f>
        <v>45.695999999999998</v>
      </c>
      <c r="L15">
        <v>218</v>
      </c>
    </row>
    <row r="16" spans="1:17" x14ac:dyDescent="0.3">
      <c r="A16" t="s">
        <v>13</v>
      </c>
      <c r="B16">
        <v>2023</v>
      </c>
      <c r="C16" t="s">
        <v>14</v>
      </c>
      <c r="D16" t="s">
        <v>11</v>
      </c>
      <c r="E16" t="s">
        <v>9</v>
      </c>
      <c r="F16">
        <v>408</v>
      </c>
      <c r="G16" s="3">
        <v>328</v>
      </c>
      <c r="H16" s="3">
        <v>293</v>
      </c>
      <c r="I16" s="3"/>
      <c r="J16" s="2">
        <f>132+(L16*0.9)</f>
        <v>328.20000000000005</v>
      </c>
      <c r="K16">
        <f t="shared" ref="K16" si="5">F16*0.718</f>
        <v>292.94399999999996</v>
      </c>
      <c r="L16">
        <v>218</v>
      </c>
    </row>
    <row r="17" spans="1:12" x14ac:dyDescent="0.3">
      <c r="A17" t="s">
        <v>13</v>
      </c>
      <c r="B17">
        <v>2022</v>
      </c>
      <c r="C17" t="s">
        <v>14</v>
      </c>
      <c r="D17" t="s">
        <v>15</v>
      </c>
      <c r="E17" t="s">
        <v>7</v>
      </c>
      <c r="F17">
        <v>627</v>
      </c>
      <c r="G17" s="3">
        <v>45</v>
      </c>
      <c r="H17" s="3">
        <v>105</v>
      </c>
      <c r="I17" s="3"/>
      <c r="J17" s="2">
        <f>40+(L17*0.025)</f>
        <v>44.75</v>
      </c>
      <c r="K17">
        <f t="shared" ref="K17" si="6">F17*0.165</f>
        <v>103.455</v>
      </c>
      <c r="L17">
        <v>190</v>
      </c>
    </row>
    <row r="18" spans="1:12" x14ac:dyDescent="0.3">
      <c r="A18" t="s">
        <v>13</v>
      </c>
      <c r="B18">
        <v>2022</v>
      </c>
      <c r="C18" t="s">
        <v>14</v>
      </c>
      <c r="D18" t="s">
        <v>15</v>
      </c>
      <c r="E18" t="s">
        <v>8</v>
      </c>
      <c r="F18">
        <v>627</v>
      </c>
      <c r="G18" s="3">
        <v>26</v>
      </c>
      <c r="H18" s="3">
        <v>71</v>
      </c>
      <c r="I18" s="3"/>
      <c r="J18" s="2">
        <f>12+(L18*0.075)</f>
        <v>26.25</v>
      </c>
      <c r="K18">
        <f t="shared" ref="K18" si="7">F18*0.112</f>
        <v>70.224000000000004</v>
      </c>
      <c r="L18">
        <v>190</v>
      </c>
    </row>
    <row r="19" spans="1:12" x14ac:dyDescent="0.3">
      <c r="A19" t="s">
        <v>13</v>
      </c>
      <c r="B19">
        <v>2022</v>
      </c>
      <c r="C19" t="s">
        <v>14</v>
      </c>
      <c r="D19" t="s">
        <v>15</v>
      </c>
      <c r="E19" t="s">
        <v>9</v>
      </c>
      <c r="F19">
        <v>627</v>
      </c>
      <c r="G19" s="3">
        <v>556</v>
      </c>
      <c r="H19" s="3">
        <v>451</v>
      </c>
      <c r="I19" s="3"/>
      <c r="J19" s="2">
        <f>385+(L19*0.9)</f>
        <v>556</v>
      </c>
      <c r="K19">
        <f t="shared" ref="K19" si="8">F19*0.718</f>
        <v>450.18599999999998</v>
      </c>
      <c r="L19">
        <v>190</v>
      </c>
    </row>
    <row r="20" spans="1:12" x14ac:dyDescent="0.3">
      <c r="A20" t="s">
        <v>13</v>
      </c>
      <c r="B20">
        <v>2023</v>
      </c>
      <c r="C20" t="s">
        <v>14</v>
      </c>
      <c r="D20" t="s">
        <v>15</v>
      </c>
      <c r="E20" t="s">
        <v>7</v>
      </c>
      <c r="F20">
        <v>570</v>
      </c>
      <c r="G20" s="3">
        <v>75</v>
      </c>
      <c r="H20" s="3">
        <v>95</v>
      </c>
      <c r="I20" s="3"/>
      <c r="J20" s="2">
        <f>69+(L20*0.025)</f>
        <v>74.900000000000006</v>
      </c>
      <c r="K20">
        <f t="shared" ref="K20" si="9">F20*0.165</f>
        <v>94.050000000000011</v>
      </c>
      <c r="L20">
        <v>236</v>
      </c>
    </row>
    <row r="21" spans="1:12" x14ac:dyDescent="0.3">
      <c r="A21" t="s">
        <v>13</v>
      </c>
      <c r="B21">
        <v>2023</v>
      </c>
      <c r="C21" t="s">
        <v>14</v>
      </c>
      <c r="D21" t="s">
        <v>15</v>
      </c>
      <c r="E21" t="s">
        <v>8</v>
      </c>
      <c r="F21">
        <v>570</v>
      </c>
      <c r="G21" s="3">
        <v>38</v>
      </c>
      <c r="H21" s="3">
        <v>65</v>
      </c>
      <c r="I21" s="3"/>
      <c r="J21" s="2">
        <f>20+(L21*0.075)</f>
        <v>37.700000000000003</v>
      </c>
      <c r="K21">
        <f t="shared" ref="K21" si="10">F21*0.112</f>
        <v>63.84</v>
      </c>
      <c r="L21">
        <v>236</v>
      </c>
    </row>
    <row r="22" spans="1:12" x14ac:dyDescent="0.3">
      <c r="A22" t="s">
        <v>13</v>
      </c>
      <c r="B22">
        <v>2023</v>
      </c>
      <c r="C22" t="s">
        <v>14</v>
      </c>
      <c r="D22" t="s">
        <v>15</v>
      </c>
      <c r="E22" t="s">
        <v>9</v>
      </c>
      <c r="F22">
        <v>570</v>
      </c>
      <c r="G22" s="3">
        <v>457</v>
      </c>
      <c r="H22" s="3">
        <v>410</v>
      </c>
      <c r="I22" s="3"/>
      <c r="J22" s="2">
        <f>245+(L22*0.9)</f>
        <v>457.4</v>
      </c>
      <c r="K22">
        <f t="shared" ref="K22" si="11">F22*0.718</f>
        <v>409.26</v>
      </c>
      <c r="L22">
        <v>236</v>
      </c>
    </row>
    <row r="23" spans="1:12" x14ac:dyDescent="0.3">
      <c r="A23" t="s">
        <v>16</v>
      </c>
      <c r="B23">
        <v>2022</v>
      </c>
      <c r="C23" t="s">
        <v>6</v>
      </c>
      <c r="D23" t="s">
        <v>11</v>
      </c>
      <c r="E23" t="s">
        <v>17</v>
      </c>
      <c r="F23">
        <v>62</v>
      </c>
      <c r="G23" s="3">
        <v>28</v>
      </c>
      <c r="H23" s="3">
        <v>26</v>
      </c>
      <c r="I23" s="3"/>
      <c r="J23" s="2">
        <f>21+(0.2*L23)</f>
        <v>28.2</v>
      </c>
      <c r="K23" s="2">
        <f>F23*0.4209612044006</f>
        <v>26.099594672837199</v>
      </c>
      <c r="L23">
        <v>36</v>
      </c>
    </row>
    <row r="24" spans="1:12" x14ac:dyDescent="0.3">
      <c r="A24" t="s">
        <v>16</v>
      </c>
      <c r="B24">
        <v>2022</v>
      </c>
      <c r="C24" t="s">
        <v>6</v>
      </c>
      <c r="D24" t="s">
        <v>11</v>
      </c>
      <c r="E24" t="s">
        <v>18</v>
      </c>
      <c r="F24">
        <v>62</v>
      </c>
      <c r="G24" s="3">
        <v>34</v>
      </c>
      <c r="H24" s="3">
        <v>36</v>
      </c>
      <c r="I24" s="3"/>
      <c r="J24" s="2">
        <f>8+(0.7*L24)</f>
        <v>33.200000000000003</v>
      </c>
      <c r="K24" s="2">
        <f>F24*0.5790387955993</f>
        <v>35.900405327156605</v>
      </c>
      <c r="L24">
        <v>36</v>
      </c>
    </row>
    <row r="25" spans="1:12" x14ac:dyDescent="0.3">
      <c r="A25" t="s">
        <v>16</v>
      </c>
      <c r="B25">
        <v>2023</v>
      </c>
      <c r="C25" t="s">
        <v>6</v>
      </c>
      <c r="D25" t="s">
        <v>11</v>
      </c>
      <c r="E25" t="s">
        <v>17</v>
      </c>
      <c r="F25">
        <v>80</v>
      </c>
      <c r="G25" s="3">
        <v>30</v>
      </c>
      <c r="H25" s="3">
        <v>34</v>
      </c>
      <c r="I25" s="3"/>
      <c r="J25" s="2">
        <f>26+(0.2*L25)</f>
        <v>29.4</v>
      </c>
      <c r="K25" s="2">
        <f t="shared" ref="K25" si="12">F25*0.4209612044006</f>
        <v>33.676896352047997</v>
      </c>
      <c r="L25">
        <v>17</v>
      </c>
    </row>
    <row r="26" spans="1:12" x14ac:dyDescent="0.3">
      <c r="A26" t="s">
        <v>16</v>
      </c>
      <c r="B26">
        <v>2023</v>
      </c>
      <c r="C26" t="s">
        <v>6</v>
      </c>
      <c r="D26" t="s">
        <v>11</v>
      </c>
      <c r="E26" t="s">
        <v>18</v>
      </c>
      <c r="F26">
        <v>80</v>
      </c>
      <c r="G26" s="3">
        <v>50</v>
      </c>
      <c r="H26" s="3">
        <v>46</v>
      </c>
      <c r="I26" s="3"/>
      <c r="J26" s="2">
        <f>38+(0.7*L26)</f>
        <v>49.9</v>
      </c>
      <c r="K26" s="2">
        <f t="shared" ref="K26" si="13">F26*0.5790387955993</f>
        <v>46.323103647944002</v>
      </c>
      <c r="L26">
        <v>17</v>
      </c>
    </row>
    <row r="27" spans="1:12" x14ac:dyDescent="0.3">
      <c r="A27" t="s">
        <v>16</v>
      </c>
      <c r="B27">
        <v>2024</v>
      </c>
      <c r="C27" t="s">
        <v>6</v>
      </c>
      <c r="D27" t="s">
        <v>11</v>
      </c>
      <c r="E27" t="s">
        <v>17</v>
      </c>
      <c r="F27">
        <v>99</v>
      </c>
      <c r="G27" s="3">
        <v>30</v>
      </c>
      <c r="H27" s="3">
        <v>42</v>
      </c>
      <c r="I27" s="3"/>
      <c r="J27" s="2">
        <f>24+(0.2*L27)</f>
        <v>30.6</v>
      </c>
      <c r="K27" s="2">
        <f t="shared" ref="K27" si="14">F27*0.4209612044006</f>
        <v>41.6751592356594</v>
      </c>
      <c r="L27">
        <v>33</v>
      </c>
    </row>
    <row r="28" spans="1:12" x14ac:dyDescent="0.3">
      <c r="A28" t="s">
        <v>16</v>
      </c>
      <c r="B28">
        <v>2024</v>
      </c>
      <c r="C28" t="s">
        <v>6</v>
      </c>
      <c r="D28" t="s">
        <v>11</v>
      </c>
      <c r="E28" t="s">
        <v>18</v>
      </c>
      <c r="F28">
        <v>99</v>
      </c>
      <c r="G28" s="3">
        <v>69</v>
      </c>
      <c r="H28" s="3">
        <v>57</v>
      </c>
      <c r="I28" s="3"/>
      <c r="J28" s="2">
        <f>46+(0.7*L28)</f>
        <v>69.099999999999994</v>
      </c>
      <c r="K28" s="2">
        <f t="shared" ref="K28" si="15">F28*0.5790387955993</f>
        <v>57.324840764330702</v>
      </c>
      <c r="L28">
        <v>33</v>
      </c>
    </row>
    <row r="29" spans="1:12" x14ac:dyDescent="0.3">
      <c r="A29" t="s">
        <v>16</v>
      </c>
      <c r="B29">
        <v>2022</v>
      </c>
      <c r="C29" t="s">
        <v>14</v>
      </c>
      <c r="D29" t="s">
        <v>11</v>
      </c>
      <c r="E29" t="s">
        <v>17</v>
      </c>
      <c r="F29">
        <v>361</v>
      </c>
      <c r="G29" s="3">
        <v>156</v>
      </c>
      <c r="H29" s="3">
        <v>152</v>
      </c>
      <c r="I29" s="3"/>
      <c r="J29" s="2">
        <f>115+(0.2*L29)</f>
        <v>156</v>
      </c>
      <c r="K29" s="2">
        <f t="shared" ref="K29" si="16">F29*0.4209612044006</f>
        <v>151.9669947886166</v>
      </c>
      <c r="L29">
        <v>205</v>
      </c>
    </row>
    <row r="30" spans="1:12" x14ac:dyDescent="0.3">
      <c r="A30" t="s">
        <v>16</v>
      </c>
      <c r="B30">
        <v>2022</v>
      </c>
      <c r="C30" t="s">
        <v>14</v>
      </c>
      <c r="D30" t="s">
        <v>11</v>
      </c>
      <c r="E30" t="s">
        <v>18</v>
      </c>
      <c r="F30">
        <v>361</v>
      </c>
      <c r="G30" s="3">
        <v>205</v>
      </c>
      <c r="H30" s="3">
        <v>209</v>
      </c>
      <c r="I30" s="3"/>
      <c r="J30" s="2">
        <f>61+(0.7*L30)</f>
        <v>204.5</v>
      </c>
      <c r="K30" s="2">
        <f t="shared" ref="K30" si="17">F30*0.5790387955993</f>
        <v>209.03300521134733</v>
      </c>
      <c r="L30">
        <v>205</v>
      </c>
    </row>
    <row r="31" spans="1:12" x14ac:dyDescent="0.3">
      <c r="A31" t="s">
        <v>16</v>
      </c>
      <c r="B31">
        <v>2023</v>
      </c>
      <c r="C31" t="s">
        <v>14</v>
      </c>
      <c r="D31" t="s">
        <v>11</v>
      </c>
      <c r="E31" t="s">
        <v>17</v>
      </c>
      <c r="F31">
        <v>328</v>
      </c>
      <c r="G31" s="3">
        <v>128</v>
      </c>
      <c r="H31" s="3">
        <v>138</v>
      </c>
      <c r="I31" s="3"/>
      <c r="J31" s="2">
        <f>84+(0.2*L31)</f>
        <v>127.6</v>
      </c>
      <c r="K31" s="2">
        <f t="shared" ref="K31" si="18">F31*0.4209612044006</f>
        <v>138.0752750433968</v>
      </c>
      <c r="L31">
        <v>218</v>
      </c>
    </row>
    <row r="32" spans="1:12" x14ac:dyDescent="0.3">
      <c r="A32" t="s">
        <v>16</v>
      </c>
      <c r="B32">
        <v>2023</v>
      </c>
      <c r="C32" t="s">
        <v>14</v>
      </c>
      <c r="D32" t="s">
        <v>11</v>
      </c>
      <c r="E32" t="s">
        <v>18</v>
      </c>
      <c r="F32">
        <v>328</v>
      </c>
      <c r="G32" s="3">
        <v>200</v>
      </c>
      <c r="H32" s="3">
        <v>190</v>
      </c>
      <c r="I32" s="3"/>
      <c r="J32" s="2">
        <f>48+(0.7*L32)</f>
        <v>200.6</v>
      </c>
      <c r="K32" s="2">
        <f t="shared" ref="K32" si="19">F32*0.5790387955993</f>
        <v>189.92472495657043</v>
      </c>
      <c r="L32">
        <v>218</v>
      </c>
    </row>
    <row r="33" spans="1:12" x14ac:dyDescent="0.3">
      <c r="A33" t="s">
        <v>16</v>
      </c>
      <c r="B33">
        <v>2022</v>
      </c>
      <c r="C33" t="s">
        <v>14</v>
      </c>
      <c r="D33" t="s">
        <v>15</v>
      </c>
      <c r="E33" t="s">
        <v>17</v>
      </c>
      <c r="F33">
        <v>533</v>
      </c>
      <c r="G33" s="3">
        <v>193</v>
      </c>
      <c r="H33" s="3">
        <v>224</v>
      </c>
      <c r="I33" s="3"/>
      <c r="J33" s="2">
        <f>109+(0.2*L33)</f>
        <v>192.60000000000002</v>
      </c>
      <c r="K33" s="2">
        <f t="shared" ref="K33" si="20">F33*0.4209612044006</f>
        <v>224.37232194551979</v>
      </c>
      <c r="L33">
        <v>418</v>
      </c>
    </row>
    <row r="34" spans="1:12" x14ac:dyDescent="0.3">
      <c r="A34" t="s">
        <v>16</v>
      </c>
      <c r="B34">
        <v>2022</v>
      </c>
      <c r="C34" t="s">
        <v>14</v>
      </c>
      <c r="D34" t="s">
        <v>15</v>
      </c>
      <c r="E34" t="s">
        <v>18</v>
      </c>
      <c r="F34">
        <v>533</v>
      </c>
      <c r="G34" s="3">
        <v>340</v>
      </c>
      <c r="H34" s="3">
        <v>309</v>
      </c>
      <c r="I34" s="3"/>
      <c r="J34" s="2">
        <f>48+(0.7*L34)</f>
        <v>340.59999999999997</v>
      </c>
      <c r="K34" s="2">
        <f t="shared" ref="K34" si="21">F34*0.5790387955993</f>
        <v>308.62767805442695</v>
      </c>
      <c r="L34">
        <v>418</v>
      </c>
    </row>
    <row r="35" spans="1:12" x14ac:dyDescent="0.3">
      <c r="A35" t="s">
        <v>16</v>
      </c>
      <c r="B35">
        <v>2023</v>
      </c>
      <c r="C35" t="s">
        <v>14</v>
      </c>
      <c r="D35" t="s">
        <v>15</v>
      </c>
      <c r="E35" t="s">
        <v>17</v>
      </c>
      <c r="F35">
        <v>458</v>
      </c>
      <c r="G35" s="3">
        <v>200</v>
      </c>
      <c r="H35" s="3">
        <v>193</v>
      </c>
      <c r="I35" s="3"/>
      <c r="J35" s="2">
        <f>152+(0.2*L35)</f>
        <v>199.2</v>
      </c>
      <c r="K35" s="2">
        <f t="shared" ref="K35" si="22">F35*0.4209612044006</f>
        <v>192.80023161547479</v>
      </c>
      <c r="L35">
        <v>236</v>
      </c>
    </row>
    <row r="36" spans="1:12" x14ac:dyDescent="0.3">
      <c r="A36" t="s">
        <v>16</v>
      </c>
      <c r="B36">
        <v>2023</v>
      </c>
      <c r="C36" t="s">
        <v>14</v>
      </c>
      <c r="D36" t="s">
        <v>15</v>
      </c>
      <c r="E36" t="s">
        <v>18</v>
      </c>
      <c r="F36">
        <v>458</v>
      </c>
      <c r="G36" s="3">
        <v>258</v>
      </c>
      <c r="H36" s="3">
        <v>265</v>
      </c>
      <c r="I36" s="3"/>
      <c r="J36" s="2">
        <f>93+(0.7*L36)</f>
        <v>258.2</v>
      </c>
      <c r="K36" s="2">
        <f t="shared" ref="K36" si="23">F36*0.5790387955993</f>
        <v>265.1997683844794</v>
      </c>
      <c r="L36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Caide Wooten</dc:creator>
  <cp:lastModifiedBy>Caide Wooten</cp:lastModifiedBy>
  <dcterms:created xsi:type="dcterms:W3CDTF">2025-02-11T22:06:23Z</dcterms:created>
  <dcterms:modified xsi:type="dcterms:W3CDTF">2025-05-26T19:43:41Z</dcterms:modified>
</cp:coreProperties>
</file>