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externalLinks/_rels/externalLink1.xml.rels" ContentType="application/vnd.openxmlformats-package.relationships+xml"/>
  <Override PartName="/xl/externalLinks/_rels/externalLink2.xml.rels" ContentType="application/vnd.openxmlformats-package.relationships+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1.wmf" ContentType="image/x-wmf"/>
  <Override PartName="/xl/media/image2.png" ContentType="image/png"/>
  <Override PartName="/xl/media/image3.wmf" ContentType="image/x-wmf"/>
  <Override PartName="/xl/media/image4.png" ContentType="image/png"/>
  <Override PartName="/xl/media/image5.png" ContentType="image/png"/>
  <Override PartName="/xl/media/image10.png" ContentType="image/png"/>
  <Override PartName="/xl/media/image6.png" ContentType="image/png"/>
  <Override PartName="/xl/media/image11.png" ContentType="image/png"/>
  <Override PartName="/xl/media/image7.png" ContentType="image/png"/>
  <Override PartName="/xl/media/image12.png" ContentType="image/png"/>
  <Override PartName="/xl/media/image8.png" ContentType="image/png"/>
  <Override PartName="/xl/media/image9.png" ContentType="image/png"/>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Design Calculator" sheetId="2" state="visible" r:id="rId3"/>
    <sheet name="Device Parmaters" sheetId="3" state="hidden" r:id="rId4"/>
    <sheet name="Equations" sheetId="4" state="hidden" r:id="rId5"/>
    <sheet name="Start_up" sheetId="5" state="hidden" r:id="rId6"/>
    <sheet name="SOA" sheetId="6" state="hidden" r:id="rId7"/>
    <sheet name="dv_dt_recommendations" sheetId="7" state="hidden" r:id="rId8"/>
  </sheets>
  <externalReferences>
    <externalReference r:id="rId9"/>
    <externalReference r:id="rId10"/>
  </externalReferences>
  <definedNames>
    <definedName function="false" hidden="false" localSheetId="1" name="_xlnm.Print_Area" vbProcedure="false">'Design Calculator'!$A$1:$M$177</definedName>
    <definedName function="false" hidden="false" name="CLMAX" vbProcedure="false">Equations!$F$26</definedName>
    <definedName function="false" hidden="false" name="CLMAX_Threshold" vbProcedure="false">Equations!$E$17</definedName>
    <definedName function="false" hidden="false" name="CLMIN" vbProcedure="false">Equations!$F$24</definedName>
    <definedName function="false" hidden="false" name="CLMIN_Threshold" vbProcedure="false">Equations!$E$15</definedName>
    <definedName function="false" hidden="false" name="CLNOM" vbProcedure="false">Equations!$F$25</definedName>
    <definedName function="false" hidden="false" name="CLNOM_Threshold" vbProcedure="false">Equations!$E$16</definedName>
    <definedName function="false" hidden="false" name="COUTMAX" vbProcedure="false">'Design Calculator'!$F$31</definedName>
    <definedName function="false" hidden="false" name="CTIMER" vbProcedure="false">'design calculator'!#ref!</definedName>
    <definedName function="false" hidden="false" name="FETPDISS" vbProcedure="false">'Design Calculator'!$F$60</definedName>
    <definedName function="false" hidden="false" name="ILIM" vbProcedure="false">[2]ILIM_SOA_considerations!$C$25</definedName>
    <definedName function="false" hidden="false" name="Ilim_min" vbProcedure="false">[2]ILIM_SOA_considerations!$C$61</definedName>
    <definedName function="false" hidden="false" name="IOUTMAX" vbProcedure="false">'Design Calculator'!$F$30</definedName>
    <definedName function="false" hidden="false" name="I_Cout_ss" vbProcedure="false">Equations!$F$66</definedName>
    <definedName function="false" hidden="false" name="MaxFETPW" vbProcedure="false">'design calculator'!#ref!</definedName>
    <definedName function="false" hidden="false" name="NUMFETS" vbProcedure="false">'Design Calculator'!$F$52</definedName>
    <definedName function="false" hidden="false" name="PLIM" vbProcedure="false">[2]ILIM_SOA_considerations!$C$40</definedName>
    <definedName function="false" hidden="false" name="PLIMMAX" vbProcedure="false">'design calculator'!#ref!</definedName>
    <definedName function="false" hidden="false" name="PLIMMIN" vbProcedure="false">'design calculator'!#ref!</definedName>
    <definedName function="false" hidden="false" name="PLIMNOM" vbProcedure="false">'design calculator'!#ref!</definedName>
    <definedName function="false" hidden="false" name="RDIV1" vbProcedure="false">'Design Calculator'!$F$43</definedName>
    <definedName function="false" hidden="false" name="RDIV2" vbProcedure="false">'Design Calculator'!$F$44</definedName>
    <definedName function="false" hidden="false" name="RDSON" vbProcedure="false">'Design Calculator'!$AN$53</definedName>
    <definedName function="false" hidden="false" name="RPWR" vbProcedure="false">'Design Calculator'!$F$66</definedName>
    <definedName function="false" hidden="false" name="Rrflt" vbProcedure="false">[2]ILIM_SOA_considerations!$C$46</definedName>
    <definedName function="false" hidden="false" name="Rs" vbProcedure="false">'Design Calculator'!$F$40</definedName>
    <definedName function="false" hidden="false" name="RsEFF" vbProcedure="false">Equations!$F$23</definedName>
    <definedName function="false" hidden="false" name="Rsense" vbProcedure="false">[2]ILIM_SOA_considerations!$C$30</definedName>
    <definedName function="false" hidden="false" name="RsMAX" vbProcedure="false">'Design Calculator'!$F$38</definedName>
    <definedName function="false" hidden="false" name="SOA_av" vbProcedure="false">[2]ILIM_SOA_considerations!$C$52</definedName>
    <definedName function="false" hidden="false" name="ss_rate" vbProcedure="false">Equations!$F$62</definedName>
    <definedName function="false" hidden="false" name="TAMB" vbProcedure="false">'Design Calculator'!$F$32</definedName>
    <definedName function="false" hidden="false" name="Tfault" vbProcedure="false">'Design Calculator'!$F$77</definedName>
    <definedName function="false" hidden="false" name="Tfaultmax" vbProcedure="false">'design calculator'!#ref!</definedName>
    <definedName function="false" hidden="false" name="ThetaJA" vbProcedure="false">'Design Calculator'!$F$51</definedName>
    <definedName function="false" hidden="false" name="TINSERT" vbProcedure="false">'design calculator'!#ref!</definedName>
    <definedName function="false" hidden="false" name="TINSERTMAX" vbProcedure="false">equations!#ref!</definedName>
    <definedName function="false" hidden="false" name="TINSERTMIN" vbProcedure="false">equations!#ref!</definedName>
    <definedName function="false" hidden="false" name="TJ" vbProcedure="false">'Design Calculator'!$F$61</definedName>
    <definedName function="false" hidden="false" name="TJMAX" vbProcedure="false">'Design Calculator'!$AN$54</definedName>
    <definedName function="false" hidden="false" name="Tsd" vbProcedure="false">[2]ILIM_SOA_considerations!$C$67</definedName>
    <definedName function="false" hidden="false" name="TSTARTMAX" vbProcedure="false">equations!#ref!</definedName>
    <definedName function="false" hidden="false" name="TSTARTMIN" vbProcedure="false">equations!#ref!</definedName>
    <definedName function="false" hidden="false" name="TSTARTNOM" vbProcedure="false">equations!#ref!</definedName>
    <definedName function="false" hidden="false" name="T_cap_charge" vbProcedure="false">[2]ILIM_SOA_considerations!$C$45</definedName>
    <definedName function="false" hidden="false" name="T_margin" vbProcedure="false">[2]ILIM_SOA_considerations!$C$9</definedName>
    <definedName function="false" hidden="false" name="T_total" vbProcedure="false">[2]ILIM_SOA_considerations!$C$47</definedName>
    <definedName function="false" hidden="false" name="Vbus" vbProcedure="false">[2]ILIM_SOA_considerations!$C$23</definedName>
    <definedName function="false" hidden="false" name="VINMAX" vbProcedure="false">'Design Calculator'!$F$29</definedName>
    <definedName function="false" hidden="false" name="VINMIN" vbProcedure="false">'Design Calculator'!$F$27</definedName>
    <definedName function="false" hidden="false" name="VINNOM" vbProcedure="false">'Design Calculator'!$F$28</definedName>
    <definedName function="false" hidden="false" name="V_sns_cl_max" vbProcedure="false">[2]ILIM_SOA_considerations!$C$15</definedName>
    <definedName function="false" hidden="false" name="yesno" vbProcedure="false">'Design Calculator'!$AS$8:$AS$9</definedName>
    <definedName function="false" hidden="false" localSheetId="5" name="ILIM" vbProcedure="false">[1]ILIM_SOA_considerations!$C$25</definedName>
    <definedName function="false" hidden="false" localSheetId="5" name="Ilim_min" vbProcedure="false">[1]ILIM_SOA_considerations!$C$61</definedName>
    <definedName function="false" hidden="false" localSheetId="5" name="PLIM" vbProcedure="false">[1]ILIM_SOA_considerations!$C$40</definedName>
    <definedName function="false" hidden="false" localSheetId="5" name="Rrflt" vbProcedure="false">[1]ILIM_SOA_considerations!$C$46</definedName>
    <definedName function="false" hidden="false" localSheetId="5" name="Rsense" vbProcedure="false">[1]ILIM_SOA_considerations!$C$30</definedName>
    <definedName function="false" hidden="false" localSheetId="5" name="SOA_av" vbProcedure="false">[1]ILIM_SOA_considerations!$C$52</definedName>
    <definedName function="false" hidden="false" localSheetId="5" name="solver_adj" vbProcedure="false">soa!#ref!</definedName>
    <definedName function="false" hidden="false" localSheetId="5" name="solver_cvg" vbProcedure="false">0.0001</definedName>
    <definedName function="false" hidden="false" localSheetId="5" name="solver_drv" vbProcedure="false">1</definedName>
    <definedName function="false" hidden="false" localSheetId="5" name="solver_eng" vbProcedure="false">1</definedName>
    <definedName function="false" hidden="false" localSheetId="5" name="solver_est" vbProcedure="false">1</definedName>
    <definedName function="false" hidden="false" localSheetId="5" name="solver_itr" vbProcedure="false">2147483647</definedName>
    <definedName function="false" hidden="false" localSheetId="5" name="solver_mip" vbProcedure="false">2147483647</definedName>
    <definedName function="false" hidden="false" localSheetId="5" name="solver_mni" vbProcedure="false">30</definedName>
    <definedName function="false" hidden="false" localSheetId="5" name="solver_mrt" vbProcedure="false">0.075</definedName>
    <definedName function="false" hidden="false" localSheetId="5" name="solver_msl" vbProcedure="false">2</definedName>
    <definedName function="false" hidden="false" localSheetId="5" name="solver_neg" vbProcedure="false">1</definedName>
    <definedName function="false" hidden="false" localSheetId="5" name="solver_nod" vbProcedure="false">2147483647</definedName>
    <definedName function="false" hidden="false" localSheetId="5" name="solver_num" vbProcedure="false">0</definedName>
    <definedName function="false" hidden="false" localSheetId="5" name="solver_nwt" vbProcedure="false">1</definedName>
    <definedName function="false" hidden="false" localSheetId="5" name="solver_opt" vbProcedure="false">soa!#ref!</definedName>
    <definedName function="false" hidden="false" localSheetId="5" name="solver_pre" vbProcedure="false">0.000001</definedName>
    <definedName function="false" hidden="false" localSheetId="5" name="solver_rbv" vbProcedure="false">1</definedName>
    <definedName function="false" hidden="false" localSheetId="5" name="solver_rlx" vbProcedure="false">2</definedName>
    <definedName function="false" hidden="false" localSheetId="5" name="solver_rsd" vbProcedure="false">0</definedName>
    <definedName function="false" hidden="false" localSheetId="5" name="solver_scl" vbProcedure="false">1</definedName>
    <definedName function="false" hidden="false" localSheetId="5" name="solver_sho" vbProcedure="false">2</definedName>
    <definedName function="false" hidden="false" localSheetId="5" name="solver_ssz" vbProcedure="false">100</definedName>
    <definedName function="false" hidden="false" localSheetId="5" name="solver_tim" vbProcedure="false">2147483647</definedName>
    <definedName function="false" hidden="false" localSheetId="5" name="solver_tol" vbProcedure="false">0.01</definedName>
    <definedName function="false" hidden="false" localSheetId="5" name="solver_typ" vbProcedure="false">3</definedName>
    <definedName function="false" hidden="false" localSheetId="5" name="solver_val" vbProcedure="false">0</definedName>
    <definedName function="false" hidden="false" localSheetId="5" name="solver_ver" vbProcedure="false">3</definedName>
    <definedName function="false" hidden="false" localSheetId="5" name="Tsd" vbProcedure="false">[1]ILIM_SOA_considerations!$C$67</definedName>
    <definedName function="false" hidden="false" localSheetId="5" name="T_cap_charge" vbProcedure="false">[1]ILIM_SOA_considerations!$C$45</definedName>
    <definedName function="false" hidden="false" localSheetId="5" name="T_margin" vbProcedure="false">[1]ILIM_SOA_considerations!$C$9</definedName>
    <definedName function="false" hidden="false" localSheetId="5" name="T_total" vbProcedure="false">[1]ILIM_SOA_considerations!$C$47</definedName>
    <definedName function="false" hidden="false" localSheetId="5" name="Vbus" vbProcedure="false">[1]ILIM_SOA_considerations!$C$23</definedName>
    <definedName function="false" hidden="false" localSheetId="5" name="V_sns_cl_max" vbProcedure="false">[1]ILIM_SOA_considerations!$C$15</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F27" authorId="0">
      <text>
        <r>
          <rPr>
            <b val="true"/>
            <sz val="8"/>
            <color rgb="FF000000"/>
            <rFont val="Tahoma"/>
            <family val="2"/>
            <charset val="1"/>
          </rPr>
          <t xml:space="preserve">The minimum system voltage must be no less than 10V</t>
        </r>
      </text>
    </comment>
    <comment ref="F29" authorId="0">
      <text>
        <r>
          <rPr>
            <b val="true"/>
            <sz val="8"/>
            <color rgb="FF000000"/>
            <rFont val="Tahoma"/>
            <family val="2"/>
            <charset val="1"/>
          </rPr>
          <t xml:space="preserve">The maximum system voltage must be no greater than 80V.</t>
        </r>
      </text>
    </comment>
    <comment ref="F31" authorId="0">
      <text>
        <r>
          <rPr>
            <sz val="10"/>
            <rFont val="Arial"/>
            <family val="0"/>
            <charset val="1"/>
          </rPr>
          <t xml:space="preserve">This is the capacitance at Vout. This should not be zero. A minimum of 10 </t>
        </r>
        <r>
          <rPr>
            <b val="true"/>
            <sz val="8"/>
            <color rgb="FF000000"/>
            <rFont val="Arial"/>
            <family val="2"/>
            <charset val="1"/>
          </rPr>
          <t xml:space="preserve">μ</t>
        </r>
        <r>
          <rPr>
            <b val="true"/>
            <sz val="8"/>
            <color rgb="FF000000"/>
            <rFont val="Tahoma"/>
            <family val="2"/>
            <charset val="1"/>
          </rPr>
          <t xml:space="preserve">F is recommended.</t>
        </r>
      </text>
    </comment>
    <comment ref="F39" authorId="0">
      <text>
        <r>
          <rPr>
            <sz val="10"/>
            <rFont val="Arial"/>
            <family val="0"/>
            <charset val="1"/>
          </rPr>
          <t xml:space="preserve">Using an External Resistor allows the user to fine tune the current limit for a given standard resistor. 
It will add error to the power limit, current limit, and telemetry (1% resistors) and should be avoided if possible. 
</t>
        </r>
      </text>
    </comment>
    <comment ref="F40" authorId="0">
      <text>
        <r>
          <rPr>
            <b val="true"/>
            <sz val="8"/>
            <color rgb="FF000000"/>
            <rFont val="Tahoma"/>
            <family val="2"/>
            <charset val="1"/>
          </rPr>
          <t xml:space="preserve">When using an external resistor divider, Rs must be larger than the targeted Rs,eff.  Pick the next larger available Rs.  
When not using an external resistor divider, pick the next smallest available sense resistor. </t>
        </r>
      </text>
    </comment>
    <comment ref="F41" authorId="0">
      <text>
        <r>
          <rPr>
            <sz val="10"/>
            <rFont val="Arial"/>
            <family val="0"/>
            <charset val="1"/>
          </rPr>
          <t xml:space="preserve">Cell turns Red if 
When using an external resistor divider, Rs must be larger than the targeted Rs,eff.  Pick the next larger available Rs.  
</t>
        </r>
        <r>
          <rPr>
            <sz val="9"/>
            <color rgb="FF000000"/>
            <rFont val="Tahoma"/>
            <family val="2"/>
            <charset val="1"/>
          </rPr>
          <t xml:space="preserve">
</t>
        </r>
      </text>
    </comment>
    <comment ref="F46" authorId="0">
      <text>
        <r>
          <rPr>
            <b val="true"/>
            <sz val="9"/>
            <color rgb="FF000000"/>
            <rFont val="Tahoma"/>
            <family val="2"/>
            <charset val="1"/>
          </rPr>
          <t xml:space="preserve">Ensure that the minimum current limit is above maximum load. </t>
        </r>
      </text>
    </comment>
    <comment ref="F47" authorId="0">
      <text>
        <r>
          <rPr>
            <sz val="10"/>
            <rFont val="Arial"/>
            <family val="0"/>
            <charset val="1"/>
          </rPr>
          <t xml:space="preserve">Ensure that the minimum current limit is above maximum load. 
</t>
        </r>
      </text>
    </comment>
    <comment ref="F48" authorId="0">
      <text>
        <r>
          <rPr>
            <sz val="10"/>
            <rFont val="Arial"/>
            <family val="0"/>
            <charset val="1"/>
          </rPr>
          <t xml:space="preserve">Ensure that the minimum current limit is above maximum load. 
</t>
        </r>
      </text>
    </comment>
    <comment ref="F49" authorId="0">
      <text>
        <r>
          <rPr>
            <b val="true"/>
            <sz val="8"/>
            <color rgb="FF000000"/>
            <rFont val="Tahoma"/>
            <family val="2"/>
            <charset val="1"/>
          </rPr>
          <t xml:space="preserve">The power dissipation is calculated using the maximum normal load current.
Ensure the selected resistor is rated for this power dissipation.</t>
        </r>
      </text>
    </comment>
    <comment ref="F51" authorId="0">
      <text>
        <r>
          <rPr>
            <b val="true"/>
            <sz val="9"/>
            <color rgb="FF000000"/>
            <rFont val="Tahoma"/>
            <family val="2"/>
            <charset val="1"/>
          </rPr>
          <t xml:space="preserve">Note that this parameter is heavily dependent on the board layout and amount of copper connected to the Drain of the FET. 
The TI EVM is ~30C / W number and is a good starting point. It's recommended to measure this value again once the boards are built and plugging this back into the calculator. 
</t>
        </r>
      </text>
    </comment>
    <comment ref="F53" authorId="0">
      <text>
        <r>
          <rPr>
            <sz val="10"/>
            <rFont val="Arial"/>
            <family val="0"/>
            <charset val="1"/>
          </rPr>
          <t xml:space="preserve">This number may need to be adjusted iteratively based on the result of cell C44.
</t>
        </r>
      </text>
    </comment>
    <comment ref="F61" authorId="0">
      <text>
        <r>
          <rPr>
            <sz val="9"/>
            <color rgb="FF000000"/>
            <rFont val="Tahoma"/>
            <family val="2"/>
            <charset val="1"/>
          </rPr>
          <t xml:space="preserve">If FET temperature is too high, increase the # of FETs, reduce the load, or reduce the RθJA by adding more heat sinking to MOSFETs. 
</t>
        </r>
      </text>
    </comment>
    <comment ref="F63" authorId="0">
      <text>
        <r>
          <rPr>
            <sz val="10"/>
            <rFont val="Arial"/>
            <family val="0"/>
            <charset val="1"/>
          </rPr>
          <t xml:space="preserve">Usually this can be set to PLIM,MIN.  If a load is present during start-up a higher Plim, may be preferred. 
</t>
        </r>
      </text>
    </comment>
    <comment ref="F67" authorId="0">
      <text>
        <r>
          <rPr>
            <sz val="9"/>
            <color rgb="FF000000"/>
            <rFont val="Tahoma"/>
            <family val="2"/>
            <charset val="1"/>
          </rPr>
          <t xml:space="preserve">Cell turns Red if the actual power limit is below Minimum Power Limit (cell F46)
</t>
        </r>
      </text>
    </comment>
    <comment ref="F69" authorId="0">
      <text>
        <r>
          <rPr>
            <b val="true"/>
            <sz val="8"/>
            <color rgb="FF000000"/>
            <rFont val="Tahoma"/>
            <family val="2"/>
            <charset val="1"/>
          </rPr>
          <t xml:space="preserve">Select if the load will draw current during start-up. 
For no Load, choose constant current and set to zero</t>
        </r>
      </text>
    </comment>
    <comment ref="F71" authorId="0">
      <text>
        <r>
          <rPr>
            <b val="true"/>
            <sz val="8"/>
            <color rgb="FF000000"/>
            <rFont val="Tahoma"/>
            <family val="2"/>
            <charset val="1"/>
          </rPr>
          <t xml:space="preserve">Yes or No.  Default is No.  However, DV/DT control can be useful in high current applications or applications were COUT is large.
If SOA margin is poor with a PLIM start-up, switching to a soft start can alleviate this problem.</t>
        </r>
      </text>
    </comment>
    <comment ref="F73" authorId="0">
      <text>
        <r>
          <rPr>
            <sz val="10"/>
            <rFont val="Arial"/>
            <family val="0"/>
            <charset val="1"/>
          </rPr>
          <t xml:space="preserve">If IFET - ILOAD margin is too low, there may be start-up issues due to variation in power limit or load profile.  A margin &gt; 25% is recommended. 
If margin is &lt; 25%, the power limit should be increased or the load should be kept completely OFF during start-up. 
</t>
        </r>
      </text>
    </comment>
    <comment ref="F74" authorId="0">
      <text>
        <r>
          <rPr>
            <b val="true"/>
            <sz val="8"/>
            <color rgb="FF000000"/>
            <rFont val="Tahoma"/>
            <family val="2"/>
            <charset val="1"/>
          </rPr>
          <t xml:space="preserve">TO ensure start-up the faul time out must be longer than the start-up time. It is recommended to choose a fault timer that is larger than the typical start-time to account for variations in Plim, timer current, and timer capacitance. </t>
        </r>
      </text>
    </comment>
    <comment ref="F76" authorId="0">
      <text>
        <r>
          <rPr>
            <sz val="10"/>
            <rFont val="Arial"/>
            <family val="0"/>
            <charset val="1"/>
          </rPr>
          <t xml:space="preserve">Pick closest capacitor that is larger than the Target capacitance
</t>
        </r>
      </text>
    </comment>
    <comment ref="F78" authorId="0">
      <text>
        <r>
          <rPr>
            <sz val="9"/>
            <color rgb="FF000000"/>
            <rFont val="Tahoma"/>
            <family val="2"/>
            <charset val="1"/>
          </rPr>
          <t xml:space="preserve">A ratio over 1.1 is required and over 1.3 is preferred.  This will account for variation in Power limit and timer
If the margin is poor with a PLIM based start-up,  reduce timer, reduce power limit, use more FETs in parallel or switch to soft start (cell F55)</t>
        </r>
      </text>
    </comment>
    <comment ref="F79" authorId="0">
      <text>
        <r>
          <rPr>
            <b val="true"/>
            <sz val="8"/>
            <color rgb="FF000000"/>
            <rFont val="Tahoma"/>
            <family val="2"/>
            <charset val="1"/>
          </rPr>
          <t xml:space="preserve">This is used to determine the maximum FET case temperature before start-up. 
A "yes" here means that a user may run a board at full current, then unplug the board and plug it back in. In that the FET is hot before hot-plug. 
If this is a "no".  FET temperature just equals the ambient temperature. </t>
        </r>
      </text>
    </comment>
    <comment ref="F80" authorId="0">
      <text>
        <r>
          <rPr>
            <b val="true"/>
            <sz val="9"/>
            <color rgb="FF000000"/>
            <rFont val="Tahoma"/>
            <family val="2"/>
            <charset val="1"/>
          </rPr>
          <t xml:space="preserve">If these cells are red, there is no suitable slew rate for keeping FET whithin SOA. 
Reduce load at start-up or pick FET with better SOA. </t>
        </r>
      </text>
    </comment>
    <comment ref="F81" authorId="0">
      <text>
        <r>
          <rPr>
            <sz val="10"/>
            <rFont val="Arial"/>
            <family val="0"/>
            <charset val="1"/>
          </rPr>
          <t xml:space="preserve">If these cells are red, there is no suitable slew rate for keeping FET whithin SOA. 
Reduce load at start-up or pick FET with better SOA. 
</t>
        </r>
      </text>
    </comment>
    <comment ref="F82" authorId="0">
      <text>
        <r>
          <rPr>
            <sz val="10"/>
            <rFont val="Arial"/>
            <family val="0"/>
            <charset val="1"/>
          </rPr>
          <t xml:space="preserve">Ensure that this is lower than max ss slew rate in the cell above
</t>
        </r>
      </text>
    </comment>
    <comment ref="F85" authorId="0">
      <text>
        <r>
          <rPr>
            <b val="true"/>
            <sz val="9"/>
            <color rgb="FF000000"/>
            <rFont val="Tahoma"/>
            <family val="2"/>
            <charset val="1"/>
          </rPr>
          <t xml:space="preserve">Ensure that this is lower than max ss slew rate.</t>
        </r>
      </text>
    </comment>
    <comment ref="F86" authorId="0">
      <text>
        <r>
          <rPr>
            <sz val="9"/>
            <color rgb="FF000000"/>
            <rFont val="Tahoma"/>
            <family val="2"/>
            <charset val="1"/>
          </rPr>
          <t xml:space="preserve">A margin of &gt;1.1 is required and a margin of &gt;1.3 is recommended to accout for the variation in the gate current. 
Reduce dv/dt rate to reduce inrush current and increase SOA margin</t>
        </r>
      </text>
    </comment>
    <comment ref="F91" authorId="0">
      <text>
        <r>
          <rPr>
            <sz val="10"/>
            <rFont val="Arial"/>
            <family val="0"/>
            <charset val="1"/>
          </rPr>
          <t xml:space="preserve">A margin of &gt;1.1 is required and a margin of &gt;1.3 is recommended to accout for the variation in the power limit and timer. 
Reduce Tfault to improve SOA margin. 
</t>
        </r>
      </text>
    </comment>
    <comment ref="F92" authorId="0">
      <text>
        <r>
          <rPr>
            <b val="true"/>
            <sz val="8"/>
            <color rgb="FF000000"/>
            <rFont val="Tahoma"/>
            <family val="2"/>
            <charset val="1"/>
          </rPr>
          <t xml:space="preserve">This threshold must be between 2.9V and 17V.</t>
        </r>
      </text>
    </comment>
    <comment ref="I66" authorId="0">
      <text>
        <r>
          <rPr>
            <sz val="9"/>
            <color rgb="FF000000"/>
            <rFont val="Tahoma"/>
            <family val="2"/>
            <charset val="1"/>
          </rPr>
          <t xml:space="preserve">3 Parameters:
Step 1: Max Ambient Operating Temperature 
Step 3: Estimated MOSFET RQJA
Step 3: FET Power Dissipation at full load 
**This includes air flow</t>
        </r>
      </text>
    </comment>
  </commentList>
</comments>
</file>

<file path=xl/comments6.xml><?xml version="1.0" encoding="utf-8"?>
<comments xmlns="http://schemas.openxmlformats.org/spreadsheetml/2006/main" xmlns:xdr="http://schemas.openxmlformats.org/drawingml/2006/spreadsheetDrawing">
  <authors>
    <author> </author>
  </authors>
  <commentList>
    <comment ref="C39" authorId="0">
      <text>
        <r>
          <rPr>
            <sz val="10"/>
            <rFont val="Arial"/>
            <family val="0"/>
            <charset val="1"/>
          </rPr>
          <t xml:space="preserve">Enter data from the MOSFET's SOA chart typically found in its datasheet.
</t>
        </r>
        <r>
          <rPr>
            <b val="true"/>
            <sz val="8"/>
            <color rgb="FFFF0000"/>
            <rFont val="Tahoma"/>
            <family val="2"/>
            <charset val="1"/>
          </rPr>
          <t xml:space="preserve">Consult the MOSFET vendor for SOA performance detail and appropriate derating criteria.</t>
        </r>
      </text>
    </comment>
    <comment ref="C40" authorId="0">
      <text>
        <r>
          <rPr>
            <sz val="10"/>
            <rFont val="Arial"/>
            <family val="0"/>
            <charset val="1"/>
          </rPr>
          <t xml:space="preserve">Enter data from the MOSFET's SOA chart typically found in its datasheet.
</t>
        </r>
        <r>
          <rPr>
            <b val="true"/>
            <sz val="8"/>
            <color rgb="FFFF0000"/>
            <rFont val="Tahoma"/>
            <family val="2"/>
            <charset val="1"/>
          </rPr>
          <t xml:space="preserve">Consult the MOSFET vendor for SOA performance detail and appropriate derating criteria.</t>
        </r>
      </text>
    </comment>
    <comment ref="C41" authorId="0">
      <text>
        <r>
          <rPr>
            <sz val="10"/>
            <rFont val="Arial"/>
            <family val="0"/>
            <charset val="1"/>
          </rPr>
          <t xml:space="preserve">Enter data from the MOSFET's SOA chart typically found in its datasheet.
</t>
        </r>
        <r>
          <rPr>
            <b val="true"/>
            <sz val="8"/>
            <color rgb="FFFF0000"/>
            <rFont val="Tahoma"/>
            <family val="2"/>
            <charset val="1"/>
          </rPr>
          <t xml:space="preserve">Consult the MOSFET vendor for SOA performance detail and appropriate derating criteria.</t>
        </r>
      </text>
    </comment>
  </commentList>
</comments>
</file>

<file path=xl/sharedStrings.xml><?xml version="1.0" encoding="utf-8"?>
<sst xmlns="http://schemas.openxmlformats.org/spreadsheetml/2006/main" count="600" uniqueCount="402">
  <si>
    <t xml:space="preserve">© 2016</t>
  </si>
  <si>
    <t xml:space="preserve">TPS249x/8x Design Tool- Rev. B</t>
  </si>
  <si>
    <t xml:space="preserve">Typical design procedure</t>
  </si>
  <si>
    <t xml:space="preserve">Typical applications require multiple passes through the design tool using MOSFET factors such as transient</t>
  </si>
  <si>
    <t xml:space="preserve">thermal response and safe operating area curves. Refer to the following application reports for more detail.</t>
  </si>
  <si>
    <t xml:space="preserve">Robust Hot Swap Design</t>
  </si>
  <si>
    <t xml:space="preserve">The basic design process follows:</t>
  </si>
  <si>
    <t xml:space="preserve">1. Enter operating conditions.</t>
  </si>
  <si>
    <t xml:space="preserve">2. Select current limit parameters.</t>
  </si>
  <si>
    <t xml:space="preserve">3. Enter MOSTFET SOA characteristics &amp; power limit.</t>
  </si>
  <si>
    <t xml:space="preserve">4. Select start up conditions (load and/or soft start). Check whether FET is operating with reasonable margin, within the SOA curve.</t>
  </si>
  <si>
    <t xml:space="preserve">    If not, try changing start-up conditions (soft start values, timer values), add more FETs in parallel, or switch to FET with better SOA.</t>
  </si>
  <si>
    <t xml:space="preserve">5. Enter desired UVLO and OVLO values to get recommended resistor values.</t>
  </si>
  <si>
    <t xml:space="preserve">6. Done</t>
  </si>
  <si>
    <t xml:space="preserve">Notes</t>
  </si>
  <si>
    <t xml:space="preserve">1. This worksheet is designed for use with Microsoft Excel 5.0 or later.  Its use is intended to assist power supply designers in their</t>
  </si>
  <si>
    <t xml:space="preserve">routine, day-to-day calculations.  </t>
  </si>
  <si>
    <t xml:space="preserve">2. All worksheets have light green inputs cells, white calculated cells, yellow warning cells and red high-risk cells.</t>
  </si>
  <si>
    <t xml:space="preserve">3. Formulas and device constants used in the spreadsheet are locked to prohibit them from accidentally being overwritten or deleted.</t>
  </si>
  <si>
    <t xml:space="preserve">TEXAS INSTRUMENTS TEXT FILE LICENSE
Copyright (c) 2014 Texas Instruments Incorporated
All rights reserved not granted herein.
Limited License.  
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
Redistributions must preserve existing copyright notices and reproduce this license (including the above copyright notice and the disclaimer and (if applicable) source code license limitations below) in the documentation and/or other materials provided with the distribution
Redistribution and use in binary form, without modification, are permitted provided that the following conditions are met:
* No reverse engineering, decompilation, or disassembly of this software is permitted with respect to any software provided in binary form.
* any redistribution and use are licensed by TI for use only with TI Devices.
* Nothing shall obligate TI to provide you with source code for the software licensed and provided to you in object code.
If software source code is provided to you, modification and redistribution of the source code are permitted provided that the following conditions are met:
* any redistribution and use of the source code, including any resulting derivative works, are licensed by TI for use only with TI Devices.
* any redistribution and use of any object code compiled from the source code and any resulting derivative works, are licensed by TI for use only with TI Devices.
Neither the name of Texas Instruments Incorporated nor the names of its suppliers may be used to endorse or promote products derived from this software without specific prior written permission.
DISCLAIMER.
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t>
  </si>
  <si>
    <r>
      <rPr>
        <sz val="24"/>
        <color rgb="FFFFFFFF"/>
        <rFont val="Arial"/>
        <family val="2"/>
        <charset val="1"/>
      </rPr>
      <t xml:space="preserve">                       </t>
    </r>
    <r>
      <rPr>
        <sz val="22"/>
        <color rgb="FFFFFFFF"/>
        <rFont val="Arial"/>
        <family val="2"/>
        <charset val="1"/>
      </rPr>
      <t xml:space="preserve">TPS2490/1/2/3 &amp; TPS2480/1/2/3 Hot Swap Design Tool</t>
    </r>
  </si>
  <si>
    <t xml:space="preserve">www.ti.com/hotswap</t>
  </si>
  <si>
    <t xml:space="preserve">Yes</t>
  </si>
  <si>
    <t xml:space="preserve">Enter Values in Green Shaded Cells</t>
  </si>
  <si>
    <t xml:space="preserve">No</t>
  </si>
  <si>
    <t xml:space="preserve">Calculated Values are shown in White Cells</t>
  </si>
  <si>
    <t xml:space="preserve">Yellow and Red cells highlight pottential issues with the design. Red highlights items that are higher risk. </t>
  </si>
  <si>
    <t xml:space="preserve">Step 0: Calculator Tutorials</t>
  </si>
  <si>
    <r>
      <rPr>
        <b val="true"/>
        <u val="single"/>
        <sz val="12"/>
        <color rgb="FFFF0000"/>
        <rFont val="Arial"/>
        <family val="2"/>
        <charset val="1"/>
      </rPr>
      <t xml:space="preserve">Note</t>
    </r>
    <r>
      <rPr>
        <sz val="12"/>
        <color rgb="FFFF0000"/>
        <rFont val="Arial"/>
        <family val="2"/>
        <charset val="1"/>
      </rPr>
      <t xml:space="preserve">: Before proceeding, please watch the video tutorials listed to ensure accurate results from this tool!</t>
    </r>
  </si>
  <si>
    <t xml:space="preserve">Steps 1 &amp; 2: Operating Conditions, Current Limit, &amp; Circuit Breaker (7:41)</t>
  </si>
  <si>
    <t xml:space="preserve">Step 3: MOSFET Selection (9:58)</t>
  </si>
  <si>
    <t xml:space="preserve">Step 4: Startup (10:32)</t>
  </si>
  <si>
    <t xml:space="preserve">Step 5: UVLO, OVLO &amp; PGD Thresholds (4:20)</t>
  </si>
  <si>
    <t xml:space="preserve">TPS2490 Datasheet</t>
  </si>
  <si>
    <r>
      <rPr>
        <b val="true"/>
        <sz val="11"/>
        <rFont val="Arial"/>
        <family val="2"/>
        <charset val="1"/>
      </rPr>
      <t xml:space="preserve">I understand and agree to watch the video tutorials if help is needed.</t>
    </r>
    <r>
      <rPr>
        <sz val="11"/>
        <rFont val="Arial"/>
        <family val="2"/>
        <charset val="1"/>
      </rPr>
      <t xml:space="preserve"> </t>
    </r>
    <r>
      <rPr>
        <sz val="10"/>
        <rFont val="Arial"/>
        <family val="2"/>
        <charset val="1"/>
      </rPr>
      <t xml:space="preserve">(Choose Yes to enable the calculator.)</t>
    </r>
  </si>
  <si>
    <t xml:space="preserve">Assure to follow the layout and application guidelines listed on the datasheet. </t>
  </si>
  <si>
    <t xml:space="preserve">*For additional questions not addressed in the videos, please post on E2E.ti.com</t>
  </si>
  <si>
    <t xml:space="preserve">Step 1: Operating Conditions</t>
  </si>
  <si>
    <r>
      <rPr>
        <sz val="10"/>
        <rFont val="Arial"/>
        <family val="2"/>
        <charset val="1"/>
      </rPr>
      <t xml:space="preserve">Minimum Input Operating Voltage: V</t>
    </r>
    <r>
      <rPr>
        <vertAlign val="subscript"/>
        <sz val="10"/>
        <rFont val="Arial"/>
        <family val="2"/>
        <charset val="1"/>
      </rPr>
      <t xml:space="preserve">IN(MIN)</t>
    </r>
  </si>
  <si>
    <t xml:space="preserve">V</t>
  </si>
  <si>
    <r>
      <rPr>
        <sz val="10"/>
        <rFont val="Arial"/>
        <family val="2"/>
        <charset val="1"/>
      </rPr>
      <t xml:space="preserve">Nominal Input Operating Voltage: V</t>
    </r>
    <r>
      <rPr>
        <vertAlign val="subscript"/>
        <sz val="10"/>
        <rFont val="Arial"/>
        <family val="2"/>
        <charset val="1"/>
      </rPr>
      <t xml:space="preserve">IN(NOM)</t>
    </r>
  </si>
  <si>
    <r>
      <rPr>
        <sz val="10"/>
        <rFont val="Arial"/>
        <family val="2"/>
        <charset val="1"/>
      </rPr>
      <t xml:space="preserve">Maximum Input Operating Voltage: V</t>
    </r>
    <r>
      <rPr>
        <vertAlign val="subscript"/>
        <sz val="10"/>
        <rFont val="Arial"/>
        <family val="2"/>
        <charset val="1"/>
      </rPr>
      <t xml:space="preserve">IN(MAX)</t>
    </r>
  </si>
  <si>
    <r>
      <rPr>
        <sz val="10"/>
        <rFont val="Arial"/>
        <family val="2"/>
        <charset val="1"/>
      </rPr>
      <t xml:space="preserve">Maximum Load Current: I</t>
    </r>
    <r>
      <rPr>
        <vertAlign val="subscript"/>
        <sz val="10"/>
        <rFont val="Arial"/>
        <family val="2"/>
        <charset val="1"/>
      </rPr>
      <t xml:space="preserve">OUT(MAX)</t>
    </r>
  </si>
  <si>
    <t xml:space="preserve">A</t>
  </si>
  <si>
    <r>
      <rPr>
        <sz val="10"/>
        <rFont val="Arial"/>
        <family val="2"/>
        <charset val="1"/>
      </rPr>
      <t xml:space="preserve">Maximum Output Load Capacitance: C</t>
    </r>
    <r>
      <rPr>
        <vertAlign val="subscript"/>
        <sz val="10"/>
        <rFont val="Arial"/>
        <family val="2"/>
        <charset val="1"/>
      </rPr>
      <t xml:space="preserve">LOAD</t>
    </r>
  </si>
  <si>
    <t xml:space="preserve">µF</t>
  </si>
  <si>
    <r>
      <rPr>
        <sz val="10"/>
        <rFont val="Arial"/>
        <family val="2"/>
        <charset val="1"/>
      </rPr>
      <t xml:space="preserve">Maximum Ambient Operating Temperature: T</t>
    </r>
    <r>
      <rPr>
        <vertAlign val="subscript"/>
        <sz val="10"/>
        <rFont val="Arial"/>
        <family val="2"/>
        <charset val="1"/>
      </rPr>
      <t xml:space="preserve">MAX</t>
    </r>
  </si>
  <si>
    <r>
      <rPr>
        <vertAlign val="superscript"/>
        <sz val="10"/>
        <rFont val="Arial"/>
        <family val="2"/>
        <charset val="1"/>
      </rPr>
      <t xml:space="preserve">o</t>
    </r>
    <r>
      <rPr>
        <sz val="10"/>
        <rFont val="Arial"/>
        <family val="2"/>
        <charset val="1"/>
      </rPr>
      <t xml:space="preserve">C</t>
    </r>
  </si>
  <si>
    <t xml:space="preserve">Steps 1 &amp; 2: Operating Conditions, Current Limit, &amp; Circuit Breaker</t>
  </si>
  <si>
    <t xml:space="preserve">Step 2: Current Limit and Circuit Breaker</t>
  </si>
  <si>
    <t xml:space="preserve">Maximum Recommended Value for Rs</t>
  </si>
  <si>
    <r>
      <rPr>
        <sz val="10"/>
        <rFont val="Arial"/>
        <family val="2"/>
        <charset val="1"/>
      </rPr>
      <t xml:space="preserve">m</t>
    </r>
    <r>
      <rPr>
        <sz val="10"/>
        <rFont val="Symbol"/>
        <family val="1"/>
        <charset val="2"/>
      </rPr>
      <t xml:space="preserve">W</t>
    </r>
  </si>
  <si>
    <t xml:space="preserve">46 mV</t>
  </si>
  <si>
    <r>
      <rPr>
        <sz val="10"/>
        <rFont val="Arial"/>
        <family val="2"/>
        <charset val="1"/>
      </rPr>
      <t xml:space="preserve">Use External Resistor Divider to Reduce Effecitve R</t>
    </r>
    <r>
      <rPr>
        <vertAlign val="subscript"/>
        <sz val="10"/>
        <rFont val="Arial"/>
        <family val="2"/>
        <charset val="1"/>
      </rPr>
      <t xml:space="preserve">S</t>
    </r>
  </si>
  <si>
    <r>
      <rPr>
        <sz val="10"/>
        <rFont val="Arial"/>
        <family val="2"/>
        <charset val="1"/>
      </rPr>
      <t xml:space="preserve">Enter the Resistance for R</t>
    </r>
    <r>
      <rPr>
        <vertAlign val="subscript"/>
        <sz val="10"/>
        <rFont val="Arial"/>
        <family val="2"/>
        <charset val="1"/>
      </rPr>
      <t xml:space="preserve">S</t>
    </r>
  </si>
  <si>
    <t xml:space="preserve">Recommended Value for RCL1</t>
  </si>
  <si>
    <t xml:space="preserve">W</t>
  </si>
  <si>
    <t xml:space="preserve">Recommended Value for RCL2</t>
  </si>
  <si>
    <t xml:space="preserve">Enter value for RCL1</t>
  </si>
  <si>
    <t xml:space="preserve">Enter value for RCL2</t>
  </si>
  <si>
    <r>
      <rPr>
        <sz val="10"/>
        <rFont val="Arial"/>
        <family val="2"/>
        <charset val="1"/>
      </rPr>
      <t xml:space="preserve">Effective Sense Resistance (R</t>
    </r>
    <r>
      <rPr>
        <vertAlign val="subscript"/>
        <sz val="10"/>
        <rFont val="Arial"/>
        <family val="2"/>
        <charset val="1"/>
      </rPr>
      <t xml:space="preserve">S,EFF</t>
    </r>
    <r>
      <rPr>
        <sz val="10"/>
        <rFont val="Arial"/>
        <family val="2"/>
        <charset val="1"/>
      </rPr>
      <t xml:space="preserve">)</t>
    </r>
  </si>
  <si>
    <t xml:space="preserve">Resulting Minimum Current Limit</t>
  </si>
  <si>
    <t xml:space="preserve">Resulting Typical Current Limit</t>
  </si>
  <si>
    <t xml:space="preserve">Resulting Maximum Current Limit</t>
  </si>
  <si>
    <t xml:space="preserve">Retry</t>
  </si>
  <si>
    <r>
      <rPr>
        <sz val="10"/>
        <rFont val="Arial"/>
        <family val="2"/>
        <charset val="1"/>
      </rPr>
      <t xml:space="preserve">Maximum Power Dissipation in R</t>
    </r>
    <r>
      <rPr>
        <vertAlign val="subscript"/>
        <sz val="10"/>
        <rFont val="Arial"/>
        <family val="2"/>
        <charset val="1"/>
      </rPr>
      <t xml:space="preserve">S</t>
    </r>
  </si>
  <si>
    <t xml:space="preserve">Latch Off</t>
  </si>
  <si>
    <t xml:space="preserve">Step 3: MOSFET Selection</t>
  </si>
  <si>
    <t xml:space="preserve">Q1 FET Name</t>
  </si>
  <si>
    <t xml:space="preserve">PSMN3R7-100BSE</t>
  </si>
  <si>
    <r>
      <rPr>
        <sz val="10"/>
        <rFont val="Arial"/>
        <family val="2"/>
        <charset val="1"/>
      </rPr>
      <t xml:space="preserve">Estimated MOSFET R</t>
    </r>
    <r>
      <rPr>
        <sz val="10"/>
        <rFont val="Symbol"/>
        <family val="1"/>
        <charset val="2"/>
      </rPr>
      <t xml:space="preserve">Q</t>
    </r>
    <r>
      <rPr>
        <vertAlign val="subscript"/>
        <sz val="10"/>
        <rFont val="Arial"/>
        <family val="2"/>
        <charset val="1"/>
      </rPr>
      <t xml:space="preserve">JA</t>
    </r>
  </si>
  <si>
    <r>
      <rPr>
        <vertAlign val="superscript"/>
        <sz val="10"/>
        <rFont val="Arial"/>
        <family val="2"/>
        <charset val="1"/>
      </rPr>
      <t xml:space="preserve">o</t>
    </r>
    <r>
      <rPr>
        <sz val="10"/>
        <rFont val="Arial"/>
        <family val="2"/>
        <charset val="1"/>
      </rPr>
      <t xml:space="preserve">C/W</t>
    </r>
  </si>
  <si>
    <t xml:space="preserve">Number of MosFETs</t>
  </si>
  <si>
    <t xml:space="preserve">#</t>
  </si>
  <si>
    <t xml:space="preserve">Values Used</t>
  </si>
  <si>
    <r>
      <rPr>
        <sz val="10"/>
        <rFont val="Arial"/>
        <family val="2"/>
        <charset val="1"/>
      </rPr>
      <t xml:space="preserve">MOSFET On resistance @ T</t>
    </r>
    <r>
      <rPr>
        <vertAlign val="subscript"/>
        <sz val="10"/>
        <rFont val="Arial"/>
        <family val="2"/>
        <charset val="1"/>
      </rPr>
      <t xml:space="preserve">J,DC</t>
    </r>
  </si>
  <si>
    <t xml:space="preserve">Maximum FET Junction Temperature</t>
  </si>
  <si>
    <r>
      <rPr>
        <sz val="10"/>
        <rFont val="Arial"/>
        <family val="2"/>
        <charset val="1"/>
      </rPr>
      <t xml:space="preserve">100</t>
    </r>
    <r>
      <rPr>
        <sz val="10"/>
        <rFont val="Symbol"/>
        <family val="1"/>
        <charset val="2"/>
      </rPr>
      <t xml:space="preserve">m</t>
    </r>
    <r>
      <rPr>
        <sz val="10"/>
        <rFont val="Arial"/>
        <family val="2"/>
        <charset val="1"/>
      </rPr>
      <t xml:space="preserve">s SOA Current (re-use 1ms data if unavailable) @ V</t>
    </r>
    <r>
      <rPr>
        <vertAlign val="subscript"/>
        <sz val="10"/>
        <rFont val="Arial"/>
        <family val="2"/>
        <charset val="1"/>
      </rPr>
      <t xml:space="preserve">IN(MAX)</t>
    </r>
  </si>
  <si>
    <r>
      <rPr>
        <sz val="10"/>
        <rFont val="Arial"/>
        <family val="2"/>
        <charset val="1"/>
      </rPr>
      <t xml:space="preserve">1ms SOA Current @ V</t>
    </r>
    <r>
      <rPr>
        <vertAlign val="subscript"/>
        <sz val="10"/>
        <rFont val="Arial"/>
        <family val="2"/>
        <charset val="1"/>
      </rPr>
      <t xml:space="preserve">IN(MAX)</t>
    </r>
  </si>
  <si>
    <r>
      <rPr>
        <sz val="10"/>
        <rFont val="Arial"/>
        <family val="2"/>
        <charset val="1"/>
      </rPr>
      <t xml:space="preserve">10ms SOA Current @ V</t>
    </r>
    <r>
      <rPr>
        <vertAlign val="subscript"/>
        <sz val="10"/>
        <rFont val="Arial"/>
        <family val="2"/>
        <charset val="1"/>
      </rPr>
      <t xml:space="preserve">IN(MAX)</t>
    </r>
  </si>
  <si>
    <r>
      <rPr>
        <sz val="10"/>
        <rFont val="Arial"/>
        <family val="2"/>
        <charset val="1"/>
      </rPr>
      <t xml:space="preserve">100ms  Current at @ V</t>
    </r>
    <r>
      <rPr>
        <vertAlign val="subscript"/>
        <sz val="10"/>
        <rFont val="Arial"/>
        <family val="2"/>
        <charset val="1"/>
      </rPr>
      <t xml:space="preserve">IN(MAX)</t>
    </r>
    <r>
      <rPr>
        <sz val="10"/>
        <rFont val="Arial"/>
        <family val="2"/>
        <charset val="1"/>
      </rPr>
      <t xml:space="preserve"> (use DC if 100ms not available)</t>
    </r>
  </si>
  <si>
    <r>
      <rPr>
        <sz val="10"/>
        <rFont val="Arial"/>
        <family val="2"/>
        <charset val="1"/>
      </rPr>
      <t xml:space="preserve">1s or DC SOA Current at @ V</t>
    </r>
    <r>
      <rPr>
        <vertAlign val="subscript"/>
        <sz val="10"/>
        <rFont val="Arial"/>
        <family val="2"/>
        <charset val="1"/>
      </rPr>
      <t xml:space="preserve">IN(MAX)</t>
    </r>
    <r>
      <rPr>
        <sz val="10"/>
        <rFont val="Arial"/>
        <family val="2"/>
        <charset val="1"/>
      </rPr>
      <t xml:space="preserve"> (use DC if 1s not available)</t>
    </r>
  </si>
  <si>
    <t xml:space="preserve">FET Power dissapation at full load (per FET)</t>
  </si>
  <si>
    <t xml:space="preserve">Note: TI recommends choosing a FET with SOA current specified for 100ms and/or 1s or DC. If choosing a FET without these parameters, this calculator will estimate the values via extrapolation, which leaves an inherent associated risk.</t>
  </si>
  <si>
    <r>
      <rPr>
        <sz val="10"/>
        <rFont val="Arial"/>
        <family val="2"/>
        <charset val="1"/>
      </rPr>
      <t xml:space="preserve">Maximum steady state FET Junction Temperature (T</t>
    </r>
    <r>
      <rPr>
        <vertAlign val="subscript"/>
        <sz val="10"/>
        <rFont val="Arial"/>
        <family val="2"/>
        <charset val="1"/>
      </rPr>
      <t xml:space="preserve">J,DC</t>
    </r>
    <r>
      <rPr>
        <sz val="10"/>
        <rFont val="Arial"/>
        <family val="2"/>
        <charset val="1"/>
      </rPr>
      <t xml:space="preserve">)</t>
    </r>
  </si>
  <si>
    <r>
      <rPr>
        <sz val="10"/>
        <rFont val="Arial"/>
        <family val="2"/>
        <charset val="1"/>
      </rPr>
      <t xml:space="preserve">Minimum Power Limit to Ensure Vsns &gt; 5mV &amp; Vprog &gt; 0.4V (P</t>
    </r>
    <r>
      <rPr>
        <vertAlign val="subscript"/>
        <sz val="10"/>
        <rFont val="Arial"/>
        <family val="2"/>
        <charset val="1"/>
      </rPr>
      <t xml:space="preserve">LIM,MIN</t>
    </r>
    <r>
      <rPr>
        <sz val="10"/>
        <rFont val="Arial"/>
        <family val="2"/>
        <charset val="1"/>
      </rPr>
      <t xml:space="preserve">)</t>
    </r>
  </si>
  <si>
    <t xml:space="preserve">Target Power Limit</t>
  </si>
  <si>
    <r>
      <rPr>
        <sz val="10"/>
        <rFont val="Arial"/>
        <family val="2"/>
        <charset val="1"/>
      </rPr>
      <t xml:space="preserve">Select R</t>
    </r>
    <r>
      <rPr>
        <vertAlign val="subscript"/>
        <sz val="10"/>
        <rFont val="Arial"/>
        <family val="2"/>
        <charset val="1"/>
      </rPr>
      <t xml:space="preserve">3</t>
    </r>
  </si>
  <si>
    <r>
      <rPr>
        <sz val="10"/>
        <rFont val="Arial"/>
        <family val="2"/>
        <charset val="1"/>
      </rPr>
      <t xml:space="preserve">k</t>
    </r>
    <r>
      <rPr>
        <sz val="10"/>
        <rFont val="Symbol"/>
        <family val="1"/>
        <charset val="2"/>
      </rPr>
      <t xml:space="preserve">W</t>
    </r>
  </si>
  <si>
    <r>
      <rPr>
        <sz val="10"/>
        <rFont val="Arial"/>
        <family val="2"/>
        <charset val="1"/>
      </rPr>
      <t xml:space="preserve">Calculated R</t>
    </r>
    <r>
      <rPr>
        <vertAlign val="subscript"/>
        <sz val="10"/>
        <rFont val="Arial"/>
        <family val="2"/>
        <charset val="1"/>
      </rPr>
      <t xml:space="preserve">4</t>
    </r>
  </si>
  <si>
    <r>
      <rPr>
        <sz val="10"/>
        <rFont val="Arial"/>
        <family val="2"/>
        <charset val="1"/>
      </rPr>
      <t xml:space="preserve">Actual R</t>
    </r>
    <r>
      <rPr>
        <vertAlign val="subscript"/>
        <sz val="10"/>
        <rFont val="Arial"/>
        <family val="2"/>
        <charset val="1"/>
      </rPr>
      <t xml:space="preserve">4 </t>
    </r>
    <r>
      <rPr>
        <sz val="10"/>
        <rFont val="Arial"/>
        <family val="2"/>
        <charset val="1"/>
      </rPr>
      <t xml:space="preserve">(Select next available std. value)</t>
    </r>
  </si>
  <si>
    <r>
      <rPr>
        <b val="true"/>
        <u val="single"/>
        <sz val="10"/>
        <color rgb="FFFF0000"/>
        <rFont val="Arial"/>
        <family val="2"/>
        <charset val="1"/>
      </rPr>
      <t xml:space="preserve">Note:</t>
    </r>
    <r>
      <rPr>
        <b val="true"/>
        <sz val="10"/>
        <color rgb="FFFF0000"/>
        <rFont val="Arial"/>
        <family val="2"/>
        <charset val="1"/>
      </rPr>
      <t xml:space="preserve"> Hover here to see the 3 values affecting this curve, consult a thermal expert if you are unsure! </t>
    </r>
  </si>
  <si>
    <t xml:space="preserve">Actual PLIM</t>
  </si>
  <si>
    <t xml:space="preserve">Step 4: Startup</t>
  </si>
  <si>
    <t xml:space="preserve">Load Turn-On Threshold</t>
  </si>
  <si>
    <t xml:space="preserve">Startup Load Type</t>
  </si>
  <si>
    <t xml:space="preserve">Constant Current</t>
  </si>
  <si>
    <t xml:space="preserve">Startup Load Value</t>
  </si>
  <si>
    <t xml:space="preserve">Use External Soft-Start Control</t>
  </si>
  <si>
    <t xml:space="preserve">Resistive</t>
  </si>
  <si>
    <t xml:space="preserve">Typical Start Time with Vinmax (Tstart)</t>
  </si>
  <si>
    <t xml:space="preserve">ms</t>
  </si>
  <si>
    <t xml:space="preserve">IFET - ILOAD margin (lowest for Vout range)</t>
  </si>
  <si>
    <t xml:space="preserve">Target Fault Timer: Tstart + Margin</t>
  </si>
  <si>
    <t xml:space="preserve">Target Timer capacitance</t>
  </si>
  <si>
    <t xml:space="preserve">nF</t>
  </si>
  <si>
    <t xml:space="preserve">Selected Timer capacitance </t>
  </si>
  <si>
    <t xml:space="preserve">Final Fault Timer(Tfault)</t>
  </si>
  <si>
    <t xml:space="preserve">Derated SOA / PLIM</t>
  </si>
  <si>
    <t xml:space="preserve">Can a "hot" board be hotplugged</t>
  </si>
  <si>
    <t xml:space="preserve">Recommended slew Rate (max)</t>
  </si>
  <si>
    <t xml:space="preserve">V/ms</t>
  </si>
  <si>
    <t xml:space="preserve">Recommended slew Rate (min)</t>
  </si>
  <si>
    <t xml:space="preserve">Note: This is the typical dv/dt rate, but max value can be larger. This is because the gate source current can vary from 16uA to 28uA. Thus TI recommends keeping the overall SOA margin during start-up &gt;1.5 in order to compensate for this.</t>
  </si>
  <si>
    <t xml:space="preserve">dv/dt rate on Vout</t>
  </si>
  <si>
    <t xml:space="preserve">calculated SS capacitance</t>
  </si>
  <si>
    <t xml:space="preserve">actual SS capacitance</t>
  </si>
  <si>
    <t xml:space="preserve">actual dv/dt rate on Vout</t>
  </si>
  <si>
    <t xml:space="preserve">SOA margin during start-up</t>
  </si>
  <si>
    <t xml:space="preserve">Target Fault Time</t>
  </si>
  <si>
    <t xml:space="preserve">Calculated Timer Capacitance </t>
  </si>
  <si>
    <r>
      <rPr>
        <sz val="10"/>
        <rFont val="Arial"/>
        <family val="2"/>
        <charset val="1"/>
      </rPr>
      <t xml:space="preserve">Actual Timer Capacitance (pick one smaller than C</t>
    </r>
    <r>
      <rPr>
        <vertAlign val="subscript"/>
        <sz val="10"/>
        <rFont val="Arial"/>
        <family val="2"/>
        <charset val="1"/>
      </rPr>
      <t xml:space="preserve">T,CALC</t>
    </r>
    <r>
      <rPr>
        <sz val="10"/>
        <rFont val="Arial"/>
        <family val="2"/>
        <charset val="1"/>
      </rPr>
      <t xml:space="preserve">) </t>
    </r>
  </si>
  <si>
    <t xml:space="preserve">Actual Fault Time (Tfault)</t>
  </si>
  <si>
    <t xml:space="preserve"> </t>
  </si>
  <si>
    <t xml:space="preserve">SOA margin during "hot-short" or "start-into short"</t>
  </si>
  <si>
    <t xml:space="preserve">Step 5: UVLO, OVLO &amp; PGD Thresholds</t>
  </si>
  <si>
    <t xml:space="preserve">Target Under - Voltage</t>
  </si>
  <si>
    <t xml:space="preserve">Option B</t>
  </si>
  <si>
    <t xml:space="preserve">Recommended R2</t>
  </si>
  <si>
    <t xml:space="preserve">Actual R2</t>
  </si>
  <si>
    <t xml:space="preserve">Calculated R1</t>
  </si>
  <si>
    <t xml:space="preserve">Actual R1</t>
  </si>
  <si>
    <t xml:space="preserve">Resulting Thresholds:</t>
  </si>
  <si>
    <t xml:space="preserve">Minimum</t>
  </si>
  <si>
    <t xml:space="preserve">Typical</t>
  </si>
  <si>
    <t xml:space="preserve">Maximum</t>
  </si>
  <si>
    <t xml:space="preserve">Resulting Upper UVLO Threshold = </t>
  </si>
  <si>
    <t xml:space="preserve">Resulting Lower UVLO Threshold = </t>
  </si>
  <si>
    <t xml:space="preserve">Design Summary</t>
  </si>
  <si>
    <r>
      <rPr>
        <sz val="11"/>
        <color rgb="FF000000"/>
        <rFont val="Arial"/>
        <family val="2"/>
        <charset val="1"/>
      </rPr>
      <t xml:space="preserve">R</t>
    </r>
    <r>
      <rPr>
        <vertAlign val="subscript"/>
        <sz val="11"/>
        <color rgb="FF000000"/>
        <rFont val="Arial"/>
        <family val="2"/>
        <charset val="1"/>
      </rPr>
      <t xml:space="preserve">S</t>
    </r>
    <r>
      <rPr>
        <sz val="11"/>
        <color rgb="FF000000"/>
        <rFont val="Arial"/>
        <family val="2"/>
        <charset val="1"/>
      </rPr>
      <t xml:space="preserve"> =</t>
    </r>
  </si>
  <si>
    <r>
      <rPr>
        <sz val="11"/>
        <color rgb="FF000000"/>
        <rFont val="Arial"/>
        <family val="2"/>
        <charset val="1"/>
      </rPr>
      <t xml:space="preserve">R</t>
    </r>
    <r>
      <rPr>
        <vertAlign val="subscript"/>
        <sz val="11"/>
        <color rgb="FF000000"/>
        <rFont val="Arial"/>
        <family val="2"/>
        <charset val="1"/>
      </rPr>
      <t xml:space="preserve">CL1</t>
    </r>
    <r>
      <rPr>
        <sz val="11"/>
        <color rgb="FF000000"/>
        <rFont val="Arial"/>
        <family val="2"/>
        <charset val="1"/>
      </rPr>
      <t xml:space="preserve"> =</t>
    </r>
  </si>
  <si>
    <r>
      <rPr>
        <sz val="11"/>
        <color rgb="FF000000"/>
        <rFont val="Arial"/>
        <family val="2"/>
        <charset val="1"/>
      </rPr>
      <t xml:space="preserve">R</t>
    </r>
    <r>
      <rPr>
        <vertAlign val="subscript"/>
        <sz val="11"/>
        <color rgb="FF000000"/>
        <rFont val="Arial"/>
        <family val="2"/>
        <charset val="1"/>
      </rPr>
      <t xml:space="preserve">CL2</t>
    </r>
    <r>
      <rPr>
        <sz val="11"/>
        <color rgb="FF000000"/>
        <rFont val="Arial"/>
        <family val="2"/>
        <charset val="1"/>
      </rPr>
      <t xml:space="preserve"> =</t>
    </r>
  </si>
  <si>
    <t xml:space="preserve">R1 =</t>
  </si>
  <si>
    <t xml:space="preserve">Units</t>
  </si>
  <si>
    <t xml:space="preserve">R2 =</t>
  </si>
  <si>
    <t xml:space="preserve">Current limit</t>
  </si>
  <si>
    <t xml:space="preserve">R3 =</t>
  </si>
  <si>
    <t xml:space="preserve">Power Limit</t>
  </si>
  <si>
    <t xml:space="preserve">R4 =</t>
  </si>
  <si>
    <t xml:space="preserve">Fault Timeout</t>
  </si>
  <si>
    <r>
      <rPr>
        <sz val="10"/>
        <rFont val="Arial"/>
        <family val="0"/>
        <charset val="1"/>
      </rPr>
      <t xml:space="preserve">C</t>
    </r>
    <r>
      <rPr>
        <vertAlign val="subscript"/>
        <sz val="10"/>
        <rFont val="Arial"/>
        <family val="2"/>
        <charset val="1"/>
      </rPr>
      <t xml:space="preserve">T</t>
    </r>
    <r>
      <rPr>
        <sz val="10"/>
        <rFont val="Arial"/>
        <family val="2"/>
        <charset val="1"/>
      </rPr>
      <t xml:space="preserve"> =</t>
    </r>
  </si>
  <si>
    <t xml:space="preserve">Upper UVLO Threshold</t>
  </si>
  <si>
    <r>
      <rPr>
        <sz val="10"/>
        <rFont val="Arial"/>
        <family val="0"/>
        <charset val="1"/>
      </rPr>
      <t xml:space="preserve">C</t>
    </r>
    <r>
      <rPr>
        <vertAlign val="subscript"/>
        <sz val="10"/>
        <rFont val="Arial"/>
        <family val="2"/>
        <charset val="1"/>
      </rPr>
      <t xml:space="preserve">1</t>
    </r>
    <r>
      <rPr>
        <sz val="10"/>
        <rFont val="Arial"/>
        <family val="2"/>
        <charset val="1"/>
      </rPr>
      <t xml:space="preserve"> = </t>
    </r>
  </si>
  <si>
    <t xml:space="preserve">Lower UVLO Threshold</t>
  </si>
  <si>
    <t xml:space="preserve">Q1 =</t>
  </si>
  <si>
    <r>
      <rPr>
        <sz val="11"/>
        <color rgb="FF000000"/>
        <rFont val="Arial"/>
        <family val="2"/>
        <charset val="1"/>
      </rPr>
      <t xml:space="preserve">R</t>
    </r>
    <r>
      <rPr>
        <vertAlign val="subscript"/>
        <sz val="11"/>
        <color rgb="FF000000"/>
        <rFont val="Arial"/>
        <family val="2"/>
        <charset val="1"/>
      </rPr>
      <t xml:space="preserve">G</t>
    </r>
    <r>
      <rPr>
        <sz val="11"/>
        <color rgb="FF000000"/>
        <rFont val="Arial"/>
        <family val="2"/>
        <charset val="1"/>
      </rPr>
      <t xml:space="preserve"> =</t>
    </r>
  </si>
  <si>
    <r>
      <rPr>
        <sz val="11"/>
        <color rgb="FF000000"/>
        <rFont val="Arial"/>
        <family val="2"/>
        <charset val="1"/>
      </rPr>
      <t xml:space="preserve">C</t>
    </r>
    <r>
      <rPr>
        <vertAlign val="subscript"/>
        <sz val="11"/>
        <color rgb="FF000000"/>
        <rFont val="Arial"/>
        <family val="2"/>
        <charset val="1"/>
      </rPr>
      <t xml:space="preserve">G</t>
    </r>
    <r>
      <rPr>
        <sz val="11"/>
        <color rgb="FF000000"/>
        <rFont val="Arial"/>
        <family val="2"/>
        <charset val="1"/>
      </rPr>
      <t xml:space="preserve"> =</t>
    </r>
  </si>
  <si>
    <t xml:space="preserve">Notes:</t>
  </si>
  <si>
    <r>
      <rPr>
        <sz val="10"/>
        <rFont val="Arial"/>
        <family val="2"/>
        <charset val="1"/>
      </rPr>
      <t xml:space="preserve">1. Although not mandatory, C</t>
    </r>
    <r>
      <rPr>
        <vertAlign val="subscript"/>
        <sz val="10"/>
        <rFont val="Arial"/>
        <family val="2"/>
        <charset val="1"/>
      </rPr>
      <t xml:space="preserve">IN</t>
    </r>
    <r>
      <rPr>
        <sz val="10"/>
        <rFont val="Arial"/>
        <family val="2"/>
        <charset val="1"/>
      </rPr>
      <t xml:space="preserve"> provides transient suppression at the VIN pin</t>
    </r>
  </si>
  <si>
    <t xml:space="preserve">2. A TVS clamp from VIN to GND is absolutely mandatory to clamp the voltage overshoot upon MOSFET turn-off, e.g. during circuit breaker</t>
  </si>
  <si>
    <t xml:space="preserve">3. Componet tolerances not accounted for in Min/Max Calculations.</t>
  </si>
  <si>
    <t xml:space="preserve">Min</t>
  </si>
  <si>
    <t xml:space="preserve">Typ</t>
  </si>
  <si>
    <t xml:space="preserve">Max</t>
  </si>
  <si>
    <t xml:space="preserve">Operating Conditions</t>
  </si>
  <si>
    <t xml:space="preserve">Junction Temperature</t>
  </si>
  <si>
    <t xml:space="preserve">Input Voltage</t>
  </si>
  <si>
    <t xml:space="preserve">Current Limit</t>
  </si>
  <si>
    <t xml:space="preserve">Threshold Voltage CL = VDD</t>
  </si>
  <si>
    <t xml:space="preserve">Sense input Current</t>
  </si>
  <si>
    <t xml:space="preserve">uA</t>
  </si>
  <si>
    <t xml:space="preserve">Timer</t>
  </si>
  <si>
    <t xml:space="preserve">Upper Threshold</t>
  </si>
  <si>
    <t xml:space="preserve">timer_constant</t>
  </si>
  <si>
    <t xml:space="preserve">Fault detection current</t>
  </si>
  <si>
    <t xml:space="preserve">Computed Start - Up Slop</t>
  </si>
  <si>
    <t xml:space="preserve">&lt;= mean root square(T_start_error_Plim, timer_error, cap_error); T_start proportional to 1/Plim =&gt; T_start_error_plim = 1/(1-Plim_err) - 1 = 1/(1-0.4) - 1 = 0.66</t>
  </si>
  <si>
    <t xml:space="preserve">Slop for calculations</t>
  </si>
  <si>
    <t xml:space="preserve">Note: We get additional buffer, b/c this is designed for a Vinmax, while typically Vin = Vinnom</t>
  </si>
  <si>
    <t xml:space="preserve">Gate</t>
  </si>
  <si>
    <t xml:space="preserve">Gate Sourcing Current</t>
  </si>
  <si>
    <t xml:space="preserve">Enable</t>
  </si>
  <si>
    <t xml:space="preserve">Rising</t>
  </si>
  <si>
    <t xml:space="preserve">Falling</t>
  </si>
  <si>
    <t xml:space="preserve">CLMIN =</t>
  </si>
  <si>
    <t xml:space="preserve">mV</t>
  </si>
  <si>
    <t xml:space="preserve">CLNOM = </t>
  </si>
  <si>
    <t xml:space="preserve">CLMAX =</t>
  </si>
  <si>
    <t xml:space="preserve">Max Rs =</t>
  </si>
  <si>
    <t xml:space="preserve">RCL1 Recommended  =</t>
  </si>
  <si>
    <t xml:space="preserve">RCL2 Recommmended =</t>
  </si>
  <si>
    <t xml:space="preserve">Effective Rs =</t>
  </si>
  <si>
    <t xml:space="preserve">Min. Current limit =</t>
  </si>
  <si>
    <t xml:space="preserve">Typ. Current limit =</t>
  </si>
  <si>
    <t xml:space="preserve">Max. Current limit =</t>
  </si>
  <si>
    <t xml:space="preserve">Rs Power Diss. =</t>
  </si>
  <si>
    <t xml:space="preserve">R = R4 / (R4+R3)</t>
  </si>
  <si>
    <t xml:space="preserve">R* R4 + R*R3 = R4</t>
  </si>
  <si>
    <t xml:space="preserve">FET Selection</t>
  </si>
  <si>
    <t xml:space="preserve">R4(1-R) = R *R3</t>
  </si>
  <si>
    <t xml:space="preserve">Nominal</t>
  </si>
  <si>
    <t xml:space="preserve">Derated at TJ</t>
  </si>
  <si>
    <t xml:space="preserve">100ms SOA Current Maximum Input Voltage</t>
  </si>
  <si>
    <t xml:space="preserve">R4 = R3 * R/(1-R)</t>
  </si>
  <si>
    <t xml:space="preserve">1ms SOA Current Maximum Input Voltage</t>
  </si>
  <si>
    <t xml:space="preserve">10ms SOA Current Maximum Input Voltage</t>
  </si>
  <si>
    <t xml:space="preserve">100ms or DC SOA Current at Maximum Input Voltage</t>
  </si>
  <si>
    <t xml:space="preserve">Minimum Power Limit=</t>
  </si>
  <si>
    <t xml:space="preserve">Target PLIM</t>
  </si>
  <si>
    <t xml:space="preserve">Target Vprog</t>
  </si>
  <si>
    <t xml:space="preserve">R3</t>
  </si>
  <si>
    <t xml:space="preserve">k-ohm</t>
  </si>
  <si>
    <t xml:space="preserve">Res. Div.</t>
  </si>
  <si>
    <t xml:space="preserve">R4</t>
  </si>
  <si>
    <t xml:space="preserve">Act R4</t>
  </si>
  <si>
    <t xml:space="preserve">Vprog</t>
  </si>
  <si>
    <t xml:space="preserve">Plim</t>
  </si>
  <si>
    <t xml:space="preserve">Startup</t>
  </si>
  <si>
    <t xml:space="preserve">With PLIM</t>
  </si>
  <si>
    <t xml:space="preserve">Typical Start time</t>
  </si>
  <si>
    <t xml:space="preserve">Start-slop</t>
  </si>
  <si>
    <t xml:space="preserve">Target Fault Timer</t>
  </si>
  <si>
    <t xml:space="preserve">Selected Timer capacitance</t>
  </si>
  <si>
    <t xml:space="preserve">Final Fault Timer</t>
  </si>
  <si>
    <t xml:space="preserve">SOA / PLIM</t>
  </si>
  <si>
    <t xml:space="preserve">With SS</t>
  </si>
  <si>
    <t xml:space="preserve">dv/dt rate</t>
  </si>
  <si>
    <t xml:space="preserve">actual dv/dt rate</t>
  </si>
  <si>
    <t xml:space="preserve">I_Cout</t>
  </si>
  <si>
    <t xml:space="preserve">typical start time</t>
  </si>
  <si>
    <t xml:space="preserve">FET Energy dissipated at start-up (EFET)</t>
  </si>
  <si>
    <t xml:space="preserve">J</t>
  </si>
  <si>
    <t xml:space="preserve">Peak Power dissipated  during start-up (PFET)</t>
  </si>
  <si>
    <t xml:space="preserve">Equivalent time at peak power - EFET/PFET (t_power)</t>
  </si>
  <si>
    <t xml:space="preserve">Available SOA for t_power at Vinmax</t>
  </si>
  <si>
    <t xml:space="preserve">SOA margin</t>
  </si>
  <si>
    <t xml:space="preserve">Covering hot-short, start-into short for SS</t>
  </si>
  <si>
    <t xml:space="preserve">Actual Timer Capacitance</t>
  </si>
  <si>
    <t xml:space="preserve">Available derated SOA for Tfault</t>
  </si>
  <si>
    <t xml:space="preserve">UVLO</t>
  </si>
  <si>
    <t xml:space="preserve">1.35 = UV * R2/(R2+R1)</t>
  </si>
  <si>
    <t xml:space="preserve">R2+R1 = UV * R2 /1.35</t>
  </si>
  <si>
    <t xml:space="preserve">R1 = R2*(-1+UV/1.35)</t>
  </si>
  <si>
    <t xml:space="preserve">GRAPH:</t>
  </si>
  <si>
    <t xml:space="preserve">Selected Rs =</t>
  </si>
  <si>
    <t xml:space="preserve">Max System voltage =</t>
  </si>
  <si>
    <t xml:space="preserve">Current Lim (min) =</t>
  </si>
  <si>
    <t xml:space="preserve">Current Lim (typ) =</t>
  </si>
  <si>
    <t xml:space="preserve">Current Lim (max) =</t>
  </si>
  <si>
    <t xml:space="preserve">Power Limit (typ) =</t>
  </si>
  <si>
    <t xml:space="preserve">A) This table calculates the Ids current based</t>
  </si>
  <si>
    <t xml:space="preserve">B) This table corrrects the table at left so no</t>
  </si>
  <si>
    <t xml:space="preserve">C) This table creates the</t>
  </si>
  <si>
    <t xml:space="preserve">D) This table changes ID values to zero for Vds&gt;Vin(max)</t>
  </si>
  <si>
    <t xml:space="preserve">on power limit only - no current limit info.</t>
  </si>
  <si>
    <t xml:space="preserve">current is greater than the current limit.</t>
  </si>
  <si>
    <t xml:space="preserve">SOA data points from</t>
  </si>
  <si>
    <t xml:space="preserve">and adds the SOA curve. This data is plotted.</t>
  </si>
  <si>
    <t xml:space="preserve">PLIM</t>
  </si>
  <si>
    <t xml:space="preserve">Vds</t>
  </si>
  <si>
    <t xml:space="preserve">the customer's SOA</t>
  </si>
  <si>
    <t xml:space="preserve">SOA</t>
  </si>
  <si>
    <t xml:space="preserve">Temp Derated SOA</t>
  </si>
  <si>
    <t xml:space="preserve">data he entered.</t>
  </si>
  <si>
    <t xml:space="preserve">User's</t>
  </si>
  <si>
    <t xml:space="preserve">Ids</t>
  </si>
  <si>
    <t xml:space="preserve">x = customer's entry</t>
  </si>
  <si>
    <t xml:space="preserve">x</t>
  </si>
  <si>
    <t xml:space="preserve">Note: I added an adjustment for the systematic offset</t>
  </si>
  <si>
    <t xml:space="preserve">Vos syst</t>
  </si>
  <si>
    <t xml:space="preserve">Rs (ohm)</t>
  </si>
  <si>
    <t xml:space="preserve">Vin, max</t>
  </si>
  <si>
    <t xml:space="preserve">Plim tolerance</t>
  </si>
  <si>
    <t xml:space="preserve">Plim (Vds) = Plim (Vin,max) + (Vds - Vin,max)*Vos,syst/Rs</t>
  </si>
  <si>
    <t xml:space="preserve">ILIM</t>
  </si>
  <si>
    <t xml:space="preserve">Load type</t>
  </si>
  <si>
    <t xml:space="preserve">SS</t>
  </si>
  <si>
    <t xml:space="preserve">Load Value</t>
  </si>
  <si>
    <t xml:space="preserve">Load start</t>
  </si>
  <si>
    <t xml:space="preserve">Rs</t>
  </si>
  <si>
    <t xml:space="preserve">Vos,syst</t>
  </si>
  <si>
    <t xml:space="preserve">Start-time</t>
  </si>
  <si>
    <t xml:space="preserve">I_fet-I_L margin</t>
  </si>
  <si>
    <t xml:space="preserve">I_g(hi/nom)</t>
  </si>
  <si>
    <t xml:space="preserve">I_g(low/nom)</t>
  </si>
  <si>
    <t xml:space="preserve">To avoid timer running: Iload + Icap,ss &lt; IFET_PLIM / 2 =&gt; SS_RATE &lt; 1/Cout * (IFET_PLIM/2 - ILOAD)</t>
  </si>
  <si>
    <t xml:space="preserve">Max_SS_Rate</t>
  </si>
  <si>
    <t xml:space="preserve">max_power_typ</t>
  </si>
  <si>
    <t xml:space="preserve">FET_ENERGY</t>
  </si>
  <si>
    <t xml:space="preserve">max_power_high</t>
  </si>
  <si>
    <t xml:space="preserve">max_power_low</t>
  </si>
  <si>
    <t xml:space="preserve">VIN</t>
  </si>
  <si>
    <t xml:space="preserve">Vout</t>
  </si>
  <si>
    <t xml:space="preserve">ILOAD</t>
  </si>
  <si>
    <t xml:space="preserve">IFET_PLIM</t>
  </si>
  <si>
    <t xml:space="preserve">I_FET_SS</t>
  </si>
  <si>
    <t xml:space="preserve">IFET</t>
  </si>
  <si>
    <t xml:space="preserve">ICAP</t>
  </si>
  <si>
    <r>
      <rPr>
        <b val="true"/>
        <u val="single"/>
        <sz val="10"/>
        <rFont val="Symbol"/>
        <family val="1"/>
        <charset val="2"/>
      </rPr>
      <t xml:space="preserve">D</t>
    </r>
    <r>
      <rPr>
        <b val="true"/>
        <u val="single"/>
        <sz val="10"/>
        <rFont val="Arial"/>
        <family val="2"/>
        <charset val="1"/>
      </rPr>
      <t xml:space="preserve">t</t>
    </r>
  </si>
  <si>
    <t xml:space="preserve">Time</t>
  </si>
  <si>
    <t xml:space="preserve">Tiime (ms)</t>
  </si>
  <si>
    <t xml:space="preserve">I_Fet-IL margin</t>
  </si>
  <si>
    <t xml:space="preserve">Max _allowed SS_rate</t>
  </si>
  <si>
    <t xml:space="preserve">FET_Energy</t>
  </si>
  <si>
    <t xml:space="preserve">Power (W)</t>
  </si>
  <si>
    <t xml:space="preserve">P_ fast_SS</t>
  </si>
  <si>
    <t xml:space="preserve">P_slow_SS</t>
  </si>
  <si>
    <t xml:space="preserve">Start-up slop </t>
  </si>
  <si>
    <t xml:space="preserve">QG</t>
  </si>
  <si>
    <t xml:space="preserve">I_Src</t>
  </si>
  <si>
    <t xml:space="preserve">RMS</t>
  </si>
  <si>
    <t xml:space="preserve">combined</t>
  </si>
  <si>
    <t xml:space="preserve">I_timer</t>
  </si>
  <si>
    <t xml:space="preserve">C_timer</t>
  </si>
  <si>
    <t xml:space="preserve">Final</t>
  </si>
  <si>
    <t xml:space="preserve">Look Up</t>
  </si>
  <si>
    <t xml:space="preserve">I = a * t^m</t>
  </si>
  <si>
    <t xml:space="preserve">100us</t>
  </si>
  <si>
    <t xml:space="preserve">1ms</t>
  </si>
  <si>
    <t xml:space="preserve">10ms</t>
  </si>
  <si>
    <t xml:space="preserve">100ms</t>
  </si>
  <si>
    <t xml:space="preserve">1s/DC</t>
  </si>
  <si>
    <t xml:space="preserve">a = iSOA1/tSOA1^m</t>
  </si>
  <si>
    <t xml:space="preserve">Final SOA</t>
  </si>
  <si>
    <t xml:space="preserve">m = log(iSOA1/iSOA2)/log(tSOA1/tSOA2)</t>
  </si>
  <si>
    <t xml:space="preserve">SOA Check - Based on Timer</t>
  </si>
  <si>
    <t xml:space="preserve">SOA Predictor - dv/dt start-up</t>
  </si>
  <si>
    <t xml:space="preserve">time</t>
  </si>
  <si>
    <t xml:space="preserve">Voltage</t>
  </si>
  <si>
    <t xml:space="preserve">Lower time</t>
  </si>
  <si>
    <t xml:space="preserve">Lower time (adjusted)</t>
  </si>
  <si>
    <t xml:space="preserve">Higher timer</t>
  </si>
  <si>
    <t xml:space="preserve">Higher time</t>
  </si>
  <si>
    <t xml:space="preserve">Higher time (adjusted)</t>
  </si>
  <si>
    <t xml:space="preserve">I (lower time)</t>
  </si>
  <si>
    <t xml:space="preserve">I (higher time)</t>
  </si>
  <si>
    <t xml:space="preserve">Assuming Power vs time is linear on a log-log plot</t>
  </si>
  <si>
    <t xml:space="preserve">a</t>
  </si>
  <si>
    <t xml:space="preserve">m</t>
  </si>
  <si>
    <t xml:space="preserve">&lt;-- Cannot plot zero on a log graph. If slope ~=0, then use 1e-12 as value</t>
  </si>
  <si>
    <t xml:space="preserve">Extr. I</t>
  </si>
  <si>
    <t xml:space="preserve">Interpolated Power=</t>
  </si>
  <si>
    <t xml:space="preserve">board hot?</t>
  </si>
  <si>
    <t xml:space="preserve">Derating factor =</t>
  </si>
  <si>
    <t xml:space="preserve">Temp for derating</t>
  </si>
  <si>
    <t xml:space="preserve">Max Power with Temp Derating = </t>
  </si>
  <si>
    <t xml:space="preserve">SOA Coefficients</t>
  </si>
  <si>
    <t xml:space="preserve">0.1 to 1 ms</t>
  </si>
  <si>
    <t xml:space="preserve">1 to 10ms</t>
  </si>
  <si>
    <t xml:space="preserve">10ms to 100 ms</t>
  </si>
  <si>
    <t xml:space="preserve">100 ms to 1s</t>
  </si>
  <si>
    <t xml:space="preserve">t1</t>
  </si>
  <si>
    <t xml:space="preserve">t2</t>
  </si>
  <si>
    <t xml:space="preserve">MOSFET's SOA</t>
  </si>
  <si>
    <r>
      <rPr>
        <b val="true"/>
        <sz val="10"/>
        <rFont val="Arial"/>
        <family val="2"/>
        <charset val="1"/>
      </rPr>
      <t xml:space="preserve">V</t>
    </r>
    <r>
      <rPr>
        <b val="true"/>
        <vertAlign val="subscript"/>
        <sz val="10"/>
        <rFont val="Arial"/>
        <family val="2"/>
        <charset val="1"/>
      </rPr>
      <t xml:space="preserve">DS</t>
    </r>
  </si>
  <si>
    <r>
      <rPr>
        <b val="true"/>
        <sz val="10"/>
        <rFont val="Arial"/>
        <family val="2"/>
        <charset val="1"/>
      </rPr>
      <t xml:space="preserve">I</t>
    </r>
    <r>
      <rPr>
        <b val="true"/>
        <vertAlign val="subscript"/>
        <sz val="10"/>
        <rFont val="Arial"/>
        <family val="2"/>
        <charset val="1"/>
      </rPr>
      <t xml:space="preserve">D</t>
    </r>
  </si>
  <si>
    <t xml:space="preserve">(V)</t>
  </si>
  <si>
    <t xml:space="preserve">(A)</t>
  </si>
  <si>
    <t xml:space="preserve">Key Equations for SOA margin estimate: </t>
  </si>
  <si>
    <t xml:space="preserve">1) Get total Energy = 1/2 CV^2 + E_load (t_worksheet) * t_start / t_ worksheet</t>
  </si>
  <si>
    <t xml:space="preserve">     note:  t_worksheet is the start time from the start-up worksheet.  E_load = Total Energy @ Start-up - 1/2CV^2</t>
  </si>
  <si>
    <t xml:space="preserve">2) Get peak power:  4 Possible points with peak power</t>
  </si>
  <si>
    <t xml:space="preserve">      a) At Vin = 0 [mainly if there is no load or constant current load that starts at Vout = 0=</t>
  </si>
  <si>
    <t xml:space="preserve">      b) At Vin = Load start [ constant current=</t>
  </si>
  <si>
    <t xml:space="preserve">      c) When derivative of power = 0  [Peak, applies to resistive loads only=</t>
  </si>
  <si>
    <t xml:space="preserve">                </t>
  </si>
  <si>
    <t xml:space="preserve"> P = (I_cap + Vout/R ) * (Vin - Vout) = Icap * Vin - Icap * Vout +Vin * Vout / R - Vout^2 / R </t>
  </si>
  <si>
    <t xml:space="preserve"> =&gt;  dP/dVout =  -Icap + Vin/R -2Vout /R ;  Zero when Vout = -R*I_cap / 2 + Vin / 2</t>
  </si>
  <si>
    <t xml:space="preserve">Copied Inputs</t>
  </si>
  <si>
    <t xml:space="preserve">Temp_start_up</t>
  </si>
  <si>
    <t xml:space="preserve">SOA margin target</t>
  </si>
  <si>
    <t xml:space="preserve">Cap Energy (J)</t>
  </si>
  <si>
    <t xml:space="preserve">E_load (t_worksheet)  (J)</t>
  </si>
  <si>
    <t xml:space="preserve">t_worksheet (ms)</t>
  </si>
  <si>
    <t xml:space="preserve">Initial</t>
  </si>
  <si>
    <t xml:space="preserve">Max Target Iinr during start-up (A)</t>
  </si>
  <si>
    <t xml:space="preserve">max slew rate </t>
  </si>
  <si>
    <t xml:space="preserve">Upper bound Slew Rate (4ms start-up) (V/ms)</t>
  </si>
  <si>
    <t xml:space="preserve">min slew rate</t>
  </si>
  <si>
    <t xml:space="preserve">Min Slew Rate (400 ms start - up) (V/ms)</t>
  </si>
  <si>
    <t xml:space="preserve"># of points</t>
  </si>
  <si>
    <t xml:space="preserve">mult per point</t>
  </si>
  <si>
    <t xml:space="preserve">Note: For dv/dt keep inrush to be 3x lower than plim</t>
  </si>
  <si>
    <t xml:space="preserve">slew rate (V/ms)</t>
  </si>
  <si>
    <t xml:space="preserve">t_start (ms)</t>
  </si>
  <si>
    <t xml:space="preserve">I_cap (A)</t>
  </si>
  <si>
    <t xml:space="preserve">Total FET Energy (J)</t>
  </si>
  <si>
    <t xml:space="preserve">Power (Vout= 0) , (W)</t>
  </si>
  <si>
    <t xml:space="preserve">Power (load on), (W)</t>
  </si>
  <si>
    <t xml:space="preserve">Vout (dP/dVout = 0) (V)</t>
  </si>
  <si>
    <t xml:space="preserve">Power (@ Vout above, if applicable) </t>
  </si>
  <si>
    <t xml:space="preserve">max power (W)</t>
  </si>
  <si>
    <t xml:space="preserve">Equivalent time for SOA (ms)</t>
  </si>
  <si>
    <t xml:space="preserve">Available SOA (W)</t>
  </si>
  <si>
    <t xml:space="preserve">Derated for Temp</t>
  </si>
  <si>
    <t xml:space="preserve">SOA Margin</t>
  </si>
  <si>
    <t xml:space="preserve">Pass? </t>
  </si>
  <si>
    <t xml:space="preserve">N</t>
  </si>
  <si>
    <t xml:space="preserve">first yes</t>
  </si>
  <si>
    <t xml:space="preserve">2nd yes</t>
  </si>
  <si>
    <t xml:space="preserve">Mult 1</t>
  </si>
  <si>
    <t xml:space="preserve">mult2</t>
  </si>
</sst>
</file>

<file path=xl/styles.xml><?xml version="1.0" encoding="utf-8"?>
<styleSheet xmlns="http://schemas.openxmlformats.org/spreadsheetml/2006/main">
  <numFmts count="11">
    <numFmt numFmtId="164" formatCode="General"/>
    <numFmt numFmtId="165" formatCode="m/d/yyyy"/>
    <numFmt numFmtId="166" formatCode="0.00"/>
    <numFmt numFmtId="167" formatCode="General"/>
    <numFmt numFmtId="168" formatCode="0.0"/>
    <numFmt numFmtId="169" formatCode="0%"/>
    <numFmt numFmtId="170" formatCode="0"/>
    <numFmt numFmtId="171" formatCode="0.000"/>
    <numFmt numFmtId="172" formatCode="0.00E+00"/>
    <numFmt numFmtId="173" formatCode="0.00%"/>
    <numFmt numFmtId="174" formatCode="##0.00E+0"/>
  </numFmts>
  <fonts count="70">
    <font>
      <sz val="10"/>
      <name val="Arial"/>
      <family val="0"/>
      <charset val="1"/>
    </font>
    <font>
      <sz val="10"/>
      <name val="Arial"/>
      <family val="0"/>
    </font>
    <font>
      <sz val="10"/>
      <name val="Arial"/>
      <family val="0"/>
    </font>
    <font>
      <sz val="10"/>
      <name val="Arial"/>
      <family val="0"/>
    </font>
    <font>
      <sz val="10"/>
      <name val="Arial"/>
      <family val="2"/>
      <charset val="1"/>
    </font>
    <font>
      <sz val="11"/>
      <color rgb="FF000000"/>
      <name val="Calibri"/>
      <family val="2"/>
      <charset val="1"/>
    </font>
    <font>
      <b val="true"/>
      <sz val="24"/>
      <name val="Arial"/>
      <family val="2"/>
      <charset val="1"/>
    </font>
    <font>
      <sz val="12"/>
      <name val="MS Sans Serif"/>
      <family val="2"/>
      <charset val="1"/>
    </font>
    <font>
      <b val="true"/>
      <sz val="18"/>
      <name val="Arial"/>
      <family val="2"/>
      <charset val="1"/>
    </font>
    <font>
      <b val="true"/>
      <i val="true"/>
      <sz val="16"/>
      <name val="Arial"/>
      <family val="2"/>
      <charset val="1"/>
    </font>
    <font>
      <b val="true"/>
      <i val="true"/>
      <sz val="11"/>
      <name val="Arial"/>
      <family val="2"/>
      <charset val="1"/>
    </font>
    <font>
      <u val="single"/>
      <sz val="10"/>
      <color rgb="FF0000FF"/>
      <name val="Arial"/>
      <family val="2"/>
      <charset val="1"/>
    </font>
    <font>
      <b val="true"/>
      <i val="true"/>
      <sz val="10"/>
      <name val="Arial"/>
      <family val="2"/>
      <charset val="1"/>
    </font>
    <font>
      <sz val="11"/>
      <color rgb="FF000000"/>
      <name val="Arial"/>
      <family val="2"/>
      <charset val="1"/>
    </font>
    <font>
      <sz val="24"/>
      <color rgb="FFFFFFFF"/>
      <name val="Arial"/>
      <family val="2"/>
      <charset val="1"/>
    </font>
    <font>
      <sz val="22"/>
      <color rgb="FFFFFFFF"/>
      <name val="Arial"/>
      <family val="2"/>
      <charset val="1"/>
    </font>
    <font>
      <sz val="26"/>
      <color rgb="FFFFFFFF"/>
      <name val="Arial"/>
      <family val="2"/>
      <charset val="1"/>
    </font>
    <font>
      <sz val="10"/>
      <color rgb="FFFFFFFF"/>
      <name val="Calibri"/>
      <family val="2"/>
      <charset val="1"/>
    </font>
    <font>
      <sz val="10"/>
      <name val="Calibri"/>
      <family val="2"/>
      <charset val="1"/>
    </font>
    <font>
      <u val="single"/>
      <sz val="10"/>
      <color rgb="FFFFFFFF"/>
      <name val="Arial"/>
      <family val="2"/>
      <charset val="1"/>
    </font>
    <font>
      <b val="true"/>
      <sz val="12"/>
      <color rgb="FFFF0000"/>
      <name val="Calibri"/>
      <family val="2"/>
      <charset val="1"/>
    </font>
    <font>
      <sz val="10"/>
      <color rgb="FF969696"/>
      <name val="Arial"/>
      <family val="2"/>
      <charset val="1"/>
    </font>
    <font>
      <sz val="10"/>
      <color rgb="FFFF0000"/>
      <name val="Arial"/>
      <family val="2"/>
      <charset val="1"/>
    </font>
    <font>
      <b val="true"/>
      <sz val="11"/>
      <name val="Arial"/>
      <family val="2"/>
      <charset val="1"/>
    </font>
    <font>
      <sz val="12"/>
      <name val="Arial"/>
      <family val="2"/>
      <charset val="1"/>
    </font>
    <font>
      <b val="true"/>
      <u val="single"/>
      <sz val="12"/>
      <color rgb="FFFF0000"/>
      <name val="Arial"/>
      <family val="2"/>
      <charset val="1"/>
    </font>
    <font>
      <sz val="12"/>
      <color rgb="FFFF0000"/>
      <name val="Arial"/>
      <family val="2"/>
      <charset val="1"/>
    </font>
    <font>
      <u val="single"/>
      <sz val="12"/>
      <color rgb="FF0000FF"/>
      <name val="Arial"/>
      <family val="2"/>
      <charset val="1"/>
    </font>
    <font>
      <sz val="12"/>
      <color rgb="FF0000FF"/>
      <name val="Arial"/>
      <family val="2"/>
      <charset val="1"/>
    </font>
    <font>
      <u val="single"/>
      <sz val="11"/>
      <color rgb="FF0000FF"/>
      <name val="Arial"/>
      <family val="2"/>
      <charset val="1"/>
    </font>
    <font>
      <sz val="11"/>
      <name val="Arial"/>
      <family val="2"/>
      <charset val="1"/>
    </font>
    <font>
      <vertAlign val="subscript"/>
      <sz val="10"/>
      <name val="Arial"/>
      <family val="2"/>
      <charset val="1"/>
    </font>
    <font>
      <b val="true"/>
      <sz val="11"/>
      <color rgb="FF0000FF"/>
      <name val="Arial"/>
      <family val="2"/>
      <charset val="1"/>
    </font>
    <font>
      <vertAlign val="superscript"/>
      <sz val="10"/>
      <name val="Arial"/>
      <family val="2"/>
      <charset val="1"/>
    </font>
    <font>
      <sz val="10"/>
      <name val="Symbol"/>
      <family val="1"/>
      <charset val="2"/>
    </font>
    <font>
      <b val="true"/>
      <sz val="10"/>
      <name val="Arial"/>
      <family val="2"/>
      <charset val="1"/>
    </font>
    <font>
      <b val="true"/>
      <sz val="9"/>
      <color rgb="FFFF0000"/>
      <name val="Arial"/>
      <family val="2"/>
      <charset val="1"/>
    </font>
    <font>
      <b val="true"/>
      <u val="single"/>
      <sz val="10"/>
      <color rgb="FFFF0000"/>
      <name val="Arial"/>
      <family val="2"/>
      <charset val="1"/>
    </font>
    <font>
      <b val="true"/>
      <sz val="10"/>
      <color rgb="FFFF0000"/>
      <name val="Arial"/>
      <family val="2"/>
      <charset val="1"/>
    </font>
    <font>
      <vertAlign val="subscript"/>
      <sz val="11"/>
      <color rgb="FF000000"/>
      <name val="Arial"/>
      <family val="2"/>
      <charset val="1"/>
    </font>
    <font>
      <b val="true"/>
      <sz val="8"/>
      <color rgb="FF000000"/>
      <name val="Tahoma"/>
      <family val="2"/>
      <charset val="1"/>
    </font>
    <font>
      <b val="true"/>
      <sz val="8"/>
      <color rgb="FF000000"/>
      <name val="Arial"/>
      <family val="2"/>
      <charset val="1"/>
    </font>
    <font>
      <sz val="9"/>
      <color rgb="FF000000"/>
      <name val="Tahoma"/>
      <family val="2"/>
      <charset val="1"/>
    </font>
    <font>
      <b val="true"/>
      <sz val="9"/>
      <color rgb="FF000000"/>
      <name val="Tahoma"/>
      <family val="2"/>
      <charset val="1"/>
    </font>
    <font>
      <b val="true"/>
      <u val="single"/>
      <sz val="12"/>
      <color rgb="FFFF0000"/>
      <name val="Arial"/>
      <family val="0"/>
    </font>
    <font>
      <b val="true"/>
      <sz val="12"/>
      <color rgb="FFFF0000"/>
      <name val="Arial"/>
      <family val="0"/>
    </font>
    <font>
      <sz val="12"/>
      <color rgb="FFFF0000"/>
      <name val="Arial"/>
      <family val="0"/>
    </font>
    <font>
      <b val="true"/>
      <sz val="12"/>
      <color rgb="FF000000"/>
      <name val="Arial"/>
      <family val="0"/>
    </font>
    <font>
      <sz val="10"/>
      <color rgb="FF000000"/>
      <name val="Arial"/>
      <family val="0"/>
    </font>
    <font>
      <vertAlign val="subscript"/>
      <sz val="10"/>
      <color rgb="FF000000"/>
      <name val="Arial"/>
      <family val="0"/>
    </font>
    <font>
      <u val="single"/>
      <sz val="10"/>
      <color rgb="FF000000"/>
      <name val="Arial"/>
      <family val="0"/>
    </font>
    <font>
      <sz val="10"/>
      <name val="Times New Roman"/>
      <family val="0"/>
    </font>
    <font>
      <sz val="8"/>
      <color rgb="FF000000"/>
      <name val="Arial"/>
      <family val="0"/>
    </font>
    <font>
      <sz val="9"/>
      <color rgb="FF000000"/>
      <name val="Arial"/>
      <family val="2"/>
    </font>
    <font>
      <b val="true"/>
      <sz val="9"/>
      <color rgb="FF000000"/>
      <name val="Arial"/>
      <family val="2"/>
    </font>
    <font>
      <sz val="8"/>
      <color rgb="FF000000"/>
      <name val="Arial"/>
      <family val="2"/>
    </font>
    <font>
      <b val="true"/>
      <sz val="16"/>
      <color rgb="FF000000"/>
      <name val="Calibri"/>
      <family val="2"/>
    </font>
    <font>
      <b val="true"/>
      <sz val="10"/>
      <color rgb="FF000000"/>
      <name val="Calibri"/>
      <family val="2"/>
    </font>
    <font>
      <sz val="10"/>
      <color rgb="FF000000"/>
      <name val="Calibri"/>
      <family val="2"/>
    </font>
    <font>
      <sz val="12"/>
      <color rgb="FF000000"/>
      <name val="Arial"/>
      <family val="0"/>
    </font>
    <font>
      <vertAlign val="subscript"/>
      <sz val="12"/>
      <color rgb="FF000000"/>
      <name val="Arial"/>
      <family val="0"/>
    </font>
    <font>
      <b val="true"/>
      <sz val="20"/>
      <color rgb="FF000000"/>
      <name val="Calibri"/>
      <family val="0"/>
    </font>
    <font>
      <sz val="12"/>
      <color rgb="FF000000"/>
      <name val="Calibri"/>
      <family val="0"/>
    </font>
    <font>
      <vertAlign val="subscript"/>
      <sz val="12"/>
      <color rgb="FF000000"/>
      <name val="Calibri"/>
      <family val="0"/>
    </font>
    <font>
      <b val="true"/>
      <u val="single"/>
      <sz val="10"/>
      <name val="Arial"/>
      <family val="2"/>
      <charset val="1"/>
    </font>
    <font>
      <u val="single"/>
      <sz val="10"/>
      <name val="Arial"/>
      <family val="2"/>
      <charset val="1"/>
    </font>
    <font>
      <b val="true"/>
      <u val="single"/>
      <sz val="10"/>
      <name val="Symbol"/>
      <family val="1"/>
      <charset val="2"/>
    </font>
    <font>
      <b val="true"/>
      <sz val="18"/>
      <color rgb="FF000000"/>
      <name val="Calibri"/>
      <family val="2"/>
    </font>
    <font>
      <b val="true"/>
      <vertAlign val="subscript"/>
      <sz val="10"/>
      <name val="Arial"/>
      <family val="2"/>
      <charset val="1"/>
    </font>
    <font>
      <b val="true"/>
      <sz val="8"/>
      <color rgb="FFFF0000"/>
      <name val="Tahoma"/>
      <family val="2"/>
      <charset val="1"/>
    </font>
  </fonts>
  <fills count="10">
    <fill>
      <patternFill patternType="none"/>
    </fill>
    <fill>
      <patternFill patternType="gray125"/>
    </fill>
    <fill>
      <patternFill patternType="solid">
        <fgColor rgb="FFC3D69B"/>
        <bgColor rgb="FFBFBFBF"/>
      </patternFill>
    </fill>
    <fill>
      <patternFill patternType="solid">
        <fgColor rgb="FFFFFFFF"/>
        <bgColor rgb="FFFFFFCC"/>
      </patternFill>
    </fill>
    <fill>
      <patternFill patternType="solid">
        <fgColor rgb="FFFFFF00"/>
        <bgColor rgb="FFFFFF00"/>
      </patternFill>
    </fill>
    <fill>
      <patternFill patternType="solid">
        <fgColor rgb="FFFF0000"/>
        <bgColor rgb="FF993300"/>
      </patternFill>
    </fill>
    <fill>
      <patternFill patternType="solid">
        <fgColor rgb="FFD9D9D9"/>
        <bgColor rgb="FFC3D69B"/>
      </patternFill>
    </fill>
    <fill>
      <patternFill patternType="solid">
        <fgColor rgb="FFD99694"/>
        <bgColor rgb="FFFF99CC"/>
      </patternFill>
    </fill>
    <fill>
      <patternFill patternType="solid">
        <fgColor rgb="FF8064A2"/>
        <bgColor rgb="FF808080"/>
      </patternFill>
    </fill>
    <fill>
      <patternFill patternType="solid">
        <fgColor rgb="FFBFBFBF"/>
        <bgColor rgb="FFB7B7B7"/>
      </patternFill>
    </fill>
  </fills>
  <borders count="39">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ck">
        <color rgb="FF0000FF"/>
      </left>
      <right/>
      <top style="thick">
        <color rgb="FF0000FF"/>
      </top>
      <bottom/>
      <diagonal/>
    </border>
    <border diagonalUp="false" diagonalDown="false">
      <left/>
      <right/>
      <top style="thick">
        <color rgb="FF0000FF"/>
      </top>
      <bottom/>
      <diagonal/>
    </border>
    <border diagonalUp="false" diagonalDown="false">
      <left/>
      <right style="thick">
        <color rgb="FF0000FF"/>
      </right>
      <top style="thick">
        <color rgb="FF0000FF"/>
      </top>
      <bottom/>
      <diagonal/>
    </border>
    <border diagonalUp="false" diagonalDown="false">
      <left style="thick">
        <color rgb="FF0000FF"/>
      </left>
      <right/>
      <top/>
      <bottom/>
      <diagonal/>
    </border>
    <border diagonalUp="false" diagonalDown="false">
      <left/>
      <right style="thick">
        <color rgb="FF0000FF"/>
      </right>
      <top/>
      <bottom/>
      <diagonal/>
    </border>
    <border diagonalUp="false" diagonalDown="false">
      <left style="medium"/>
      <right style="medium"/>
      <top style="medium"/>
      <bottom style="medium"/>
      <diagonal/>
    </border>
    <border diagonalUp="false" diagonalDown="false">
      <left style="thick">
        <color rgb="FF0000FF"/>
      </left>
      <right/>
      <top/>
      <bottom style="thick">
        <color rgb="FF0000FF"/>
      </bottom>
      <diagonal/>
    </border>
    <border diagonalUp="false" diagonalDown="false">
      <left/>
      <right/>
      <top/>
      <bottom style="thick">
        <color rgb="FF0000FF"/>
      </bottom>
      <diagonal/>
    </border>
    <border diagonalUp="false" diagonalDown="false">
      <left/>
      <right style="thick">
        <color rgb="FF0000FF"/>
      </right>
      <top/>
      <bottom style="thick">
        <color rgb="FF0000FF"/>
      </bottom>
      <diagonal/>
    </border>
    <border diagonalUp="false" diagonalDown="false">
      <left style="medium"/>
      <right/>
      <top style="medium"/>
      <bottom/>
      <diagonal/>
    </border>
    <border diagonalUp="false" diagonalDown="false">
      <left/>
      <right/>
      <top style="medium"/>
      <bottom/>
      <diagonal/>
    </border>
    <border diagonalUp="false" diagonalDown="false">
      <left style="thin"/>
      <right/>
      <top/>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color rgb="FF808080"/>
      </left>
      <right style="medium">
        <color rgb="FF808080"/>
      </right>
      <top style="medium">
        <color rgb="FF808080"/>
      </top>
      <bottom style="medium">
        <color rgb="FF808080"/>
      </bottom>
      <diagonal/>
    </border>
    <border diagonalUp="false" diagonalDown="false">
      <left/>
      <right style="medium">
        <color rgb="FF808080"/>
      </right>
      <top style="medium">
        <color rgb="FF808080"/>
      </top>
      <bottom style="medium">
        <color rgb="FF808080"/>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style="thin"/>
      <top style="medium"/>
      <bottom style="thin"/>
      <diagonal/>
    </border>
    <border diagonalUp="false" diagonalDown="false">
      <left style="thin"/>
      <right style="thin"/>
      <top style="medium"/>
      <bottom/>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thin"/>
      <right style="thin"/>
      <top/>
      <bottom style="medium"/>
      <diagonal/>
    </border>
    <border diagonalUp="false" diagonalDown="false">
      <left style="thin"/>
      <right style="thin"/>
      <top/>
      <bottom style="thin"/>
      <diagonal/>
    </border>
    <border diagonalUp="false" diagonalDown="false">
      <left/>
      <right style="thin"/>
      <top/>
      <bottom/>
      <diagonal/>
    </border>
    <border diagonalUp="false" diagonalDown="false">
      <left/>
      <right style="thin"/>
      <top style="thin"/>
      <bottom style="thin"/>
      <diagonal/>
    </border>
    <border diagonalUp="false" diagonalDown="false">
      <left style="medium"/>
      <right style="thin"/>
      <top style="medium"/>
      <bottom style="thin"/>
      <diagonal/>
    </border>
    <border diagonalUp="false" diagonalDown="false">
      <left style="thin"/>
      <right/>
      <top/>
      <bottom style="mediu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top style="thin"/>
      <bottom style="thin"/>
      <diagonal/>
    </border>
    <border diagonalUp="false" diagonalDown="false">
      <left style="thin"/>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2" borderId="1" applyFont="true" applyBorder="true" applyAlignment="true" applyProtection="true">
      <alignment horizontal="center" vertical="center" textRotation="0" wrapText="false" indent="0" shrinkToFit="false"/>
      <protection locked="false" hidden="false"/>
    </xf>
    <xf numFmtId="164" fontId="4" fillId="2" borderId="1" applyFont="true" applyBorder="true" applyAlignment="true" applyProtection="true">
      <alignment horizontal="center" vertical="center" textRotation="0" wrapText="false" indent="0" shrinkToFit="false"/>
      <protection locked="false" hidden="false"/>
    </xf>
    <xf numFmtId="164" fontId="4" fillId="2" borderId="1" applyFont="true" applyBorder="true" applyAlignment="true" applyProtection="true">
      <alignment horizontal="center" vertical="center" textRotation="0" wrapText="false" indent="0" shrinkToFit="false"/>
      <protection locked="false" hidden="false"/>
    </xf>
    <xf numFmtId="164" fontId="4" fillId="2" borderId="1" applyFont="true" applyBorder="true" applyAlignment="true" applyProtection="true">
      <alignment horizontal="center" vertical="center" textRotation="0" wrapText="false" indent="0" shrinkToFit="false"/>
      <protection locked="fals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center" vertical="bottom" textRotation="0" wrapText="false" indent="0" shrinkToFit="false"/>
      <protection locked="true" hidden="false"/>
    </xf>
    <xf numFmtId="164" fontId="4" fillId="4" borderId="1" applyFont="true" applyBorder="true" applyAlignment="true" applyProtection="true">
      <alignment horizontal="center" vertical="center" textRotation="0" wrapText="false" indent="0" shrinkToFit="false"/>
      <protection locked="false" hidden="false"/>
    </xf>
    <xf numFmtId="164" fontId="4" fillId="0" borderId="2" applyFont="true" applyBorder="true" applyAlignment="true" applyProtection="true">
      <alignment horizontal="general" vertical="bottom" textRotation="0" wrapText="false" indent="0" shrinkToFit="false"/>
      <protection locked="true" hidden="false"/>
    </xf>
  </cellStyleXfs>
  <cellXfs count="28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4" borderId="3" xfId="25" applyFont="false" applyBorder="true" applyAlignment="false" applyProtection="true">
      <alignment horizontal="general" vertical="bottom" textRotation="0" wrapText="false" indent="0" shrinkToFit="false"/>
      <protection locked="true" hidden="false"/>
    </xf>
    <xf numFmtId="164" fontId="4" fillId="4" borderId="4" xfId="25" applyFont="false" applyBorder="true" applyAlignment="false" applyProtection="true">
      <alignment horizontal="general" vertical="bottom" textRotation="0" wrapText="false" indent="0" shrinkToFit="false"/>
      <protection locked="true" hidden="false"/>
    </xf>
    <xf numFmtId="164" fontId="4" fillId="4" borderId="5" xfId="25" applyFont="false" applyBorder="true" applyAlignment="false" applyProtection="true">
      <alignment horizontal="general" vertical="bottom" textRotation="0" wrapText="false" indent="0" shrinkToFit="false"/>
      <protection locked="true" hidden="false"/>
    </xf>
    <xf numFmtId="164" fontId="4" fillId="4" borderId="6" xfId="25" applyFont="false" applyBorder="true" applyAlignment="false" applyProtection="true">
      <alignment horizontal="general" vertical="bottom" textRotation="0" wrapText="false" indent="0" shrinkToFit="false"/>
      <protection locked="true" hidden="false"/>
    </xf>
    <xf numFmtId="164" fontId="4" fillId="4" borderId="0" xfId="25" applyFont="false" applyBorder="true" applyAlignment="false" applyProtection="true">
      <alignment horizontal="general" vertical="bottom" textRotation="0" wrapText="false" indent="0" shrinkToFit="false"/>
      <protection locked="true" hidden="false"/>
    </xf>
    <xf numFmtId="164" fontId="4" fillId="4" borderId="7" xfId="25" applyFont="false" applyBorder="true" applyAlignment="false" applyProtection="true">
      <alignment horizontal="general" vertical="bottom" textRotation="0" wrapText="false" indent="0" shrinkToFit="false"/>
      <protection locked="true" hidden="false"/>
    </xf>
    <xf numFmtId="164" fontId="6" fillId="4" borderId="0" xfId="25" applyFont="true" applyBorder="true" applyAlignment="false" applyProtection="true">
      <alignment horizontal="general" vertical="bottom" textRotation="0" wrapText="false" indent="0" shrinkToFit="false"/>
      <protection locked="true" hidden="false"/>
    </xf>
    <xf numFmtId="164" fontId="7" fillId="4" borderId="0" xfId="25" applyFont="true" applyBorder="true" applyAlignment="false" applyProtection="true">
      <alignment horizontal="general" vertical="bottom" textRotation="0" wrapText="false" indent="0" shrinkToFit="false"/>
      <protection locked="true" hidden="false"/>
    </xf>
    <xf numFmtId="164" fontId="8" fillId="4" borderId="0" xfId="25" applyFont="true" applyBorder="true" applyAlignment="false" applyProtection="true">
      <alignment horizontal="general" vertical="bottom" textRotation="0" wrapText="false" indent="0" shrinkToFit="false"/>
      <protection locked="true" hidden="false"/>
    </xf>
    <xf numFmtId="164" fontId="9" fillId="4" borderId="0" xfId="25" applyFont="true" applyBorder="false" applyAlignment="false" applyProtection="true">
      <alignment horizontal="general" vertical="bottom" textRotation="0" wrapText="false" indent="0" shrinkToFit="false"/>
      <protection locked="true" hidden="false"/>
    </xf>
    <xf numFmtId="164" fontId="4" fillId="4" borderId="0" xfId="25" applyFont="false" applyBorder="false" applyAlignment="false" applyProtection="true">
      <alignment horizontal="general" vertical="bottom" textRotation="0" wrapText="false" indent="0" shrinkToFit="false"/>
      <protection locked="true" hidden="false"/>
    </xf>
    <xf numFmtId="164" fontId="10" fillId="4" borderId="0" xfId="25" applyFont="true" applyBorder="false" applyAlignment="true" applyProtection="true">
      <alignment horizontal="general" vertical="bottom" textRotation="0" wrapText="false" indent="0" shrinkToFit="false"/>
      <protection locked="true" hidden="false"/>
    </xf>
    <xf numFmtId="164" fontId="10" fillId="4" borderId="0" xfId="25" applyFont="true" applyBorder="false" applyAlignment="true" applyProtection="true">
      <alignment horizontal="general" vertical="bottom" textRotation="0" wrapText="true" indent="0" shrinkToFit="false"/>
      <protection locked="true" hidden="false"/>
    </xf>
    <xf numFmtId="164" fontId="11" fillId="4" borderId="0" xfId="20" applyFont="true" applyBorder="true" applyAlignment="true" applyProtection="true">
      <alignment horizontal="left" vertical="bottom" textRotation="0" wrapText="false" indent="0" shrinkToFit="false"/>
      <protection locked="true" hidden="false"/>
    </xf>
    <xf numFmtId="164" fontId="11" fillId="4" borderId="0" xfId="20" applyFont="false" applyBorder="true" applyAlignment="true" applyProtection="true">
      <alignment horizontal="general" vertical="bottom" textRotation="0" wrapText="false" indent="0" shrinkToFit="false"/>
      <protection locked="true" hidden="false"/>
    </xf>
    <xf numFmtId="164" fontId="12" fillId="4" borderId="0" xfId="25" applyFont="true" applyBorder="false" applyAlignment="true" applyProtection="true">
      <alignment horizontal="general" vertical="center" textRotation="0" wrapText="false" indent="0" shrinkToFit="false"/>
      <protection locked="true" hidden="false"/>
    </xf>
    <xf numFmtId="164" fontId="12" fillId="4" borderId="0" xfId="25" applyFont="true" applyBorder="false" applyAlignment="false" applyProtection="true">
      <alignment horizontal="general" vertical="bottom" textRotation="0" wrapText="false" indent="0" shrinkToFit="false"/>
      <protection locked="true" hidden="false"/>
    </xf>
    <xf numFmtId="164" fontId="4" fillId="4" borderId="0" xfId="25" applyFont="true" applyBorder="true" applyAlignment="false" applyProtection="true">
      <alignment horizontal="general" vertical="bottom" textRotation="0"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4" fillId="4" borderId="9" xfId="25" applyFont="false" applyBorder="true" applyAlignment="false" applyProtection="true">
      <alignment horizontal="general" vertical="bottom" textRotation="0" wrapText="false" indent="0" shrinkToFit="false"/>
      <protection locked="true" hidden="false"/>
    </xf>
    <xf numFmtId="164" fontId="4" fillId="4" borderId="10" xfId="25" applyFont="false" applyBorder="true" applyAlignment="false" applyProtection="true">
      <alignment horizontal="general" vertical="bottom" textRotation="0" wrapText="false" indent="0" shrinkToFit="false"/>
      <protection locked="true" hidden="false"/>
    </xf>
    <xf numFmtId="164" fontId="4" fillId="4" borderId="11" xfId="25" applyFont="false" applyBorder="true" applyAlignment="false" applyProtection="tru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14" fillId="5" borderId="12" xfId="0" applyFont="true" applyBorder="true" applyAlignment="true" applyProtection="true">
      <alignment horizontal="left" vertical="center" textRotation="0" wrapText="false" indent="0" shrinkToFit="false"/>
      <protection locked="true" hidden="false"/>
    </xf>
    <xf numFmtId="164" fontId="16" fillId="3" borderId="13" xfId="0" applyFont="true" applyBorder="true" applyAlignment="true" applyProtection="true">
      <alignment horizontal="center" vertical="center" textRotation="0" wrapText="false" indent="0" shrinkToFit="false"/>
      <protection locked="true" hidden="false"/>
    </xf>
    <xf numFmtId="164" fontId="17" fillId="3" borderId="0" xfId="0" applyFont="true" applyBorder="true" applyAlignment="false" applyProtection="true">
      <alignment horizontal="general" vertical="bottom" textRotation="0" wrapText="false" indent="0" shrinkToFit="false"/>
      <protection locked="true" hidden="false"/>
    </xf>
    <xf numFmtId="164" fontId="17" fillId="3" borderId="0" xfId="0" applyFont="true" applyBorder="false" applyAlignment="false" applyProtection="true">
      <alignment horizontal="general" vertical="bottom" textRotation="0" wrapText="false" indent="0" shrinkToFit="false"/>
      <protection locked="true" hidden="false"/>
    </xf>
    <xf numFmtId="164" fontId="18" fillId="3" borderId="0" xfId="0" applyFont="true" applyBorder="false" applyAlignment="false" applyProtection="true">
      <alignment horizontal="general" vertical="bottom" textRotation="0" wrapText="false" indent="0" shrinkToFit="false"/>
      <protection locked="true" hidden="false"/>
    </xf>
    <xf numFmtId="164" fontId="18" fillId="0" borderId="0" xfId="0" applyFont="tru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19" fillId="3" borderId="0" xfId="20" applyFont="tru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4" fontId="20" fillId="3"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21" fillId="3" borderId="0" xfId="0" applyFont="true" applyBorder="false" applyAlignment="true" applyProtection="true">
      <alignment horizontal="left" vertical="bottom" textRotation="0" wrapText="false" indent="0" shrinkToFit="false"/>
      <protection locked="true" hidden="false"/>
    </xf>
    <xf numFmtId="164" fontId="0" fillId="2" borderId="1" xfId="0" applyFont="false" applyBorder="true" applyAlignment="true" applyProtection="true">
      <alignment horizontal="center"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5" fontId="21" fillId="3" borderId="0" xfId="0" applyFont="true" applyBorder="false" applyAlignment="true" applyProtection="true">
      <alignment horizontal="left" vertical="bottom" textRotation="0" wrapText="false" indent="0" shrinkToFit="false"/>
      <protection locked="true" hidden="false"/>
    </xf>
    <xf numFmtId="164" fontId="0" fillId="3" borderId="1" xfId="0" applyFont="false" applyBorder="true" applyAlignment="true" applyProtection="true">
      <alignment horizontal="center" vertical="bottom" textRotation="0" wrapText="false" indent="0" shrinkToFit="false"/>
      <protection locked="tru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0" fillId="4" borderId="1" xfId="0" applyFont="false" applyBorder="true" applyAlignment="true" applyProtection="true">
      <alignment horizontal="center" vertical="bottom" textRotation="0" wrapText="false" indent="0" shrinkToFit="false"/>
      <protection locked="true" hidden="false"/>
    </xf>
    <xf numFmtId="164" fontId="4" fillId="3" borderId="14" xfId="0" applyFont="true" applyBorder="true" applyAlignment="true" applyProtection="true">
      <alignment horizontal="left" vertical="center" textRotation="0" wrapText="true" indent="0" shrinkToFit="false"/>
      <protection locked="true" hidden="false"/>
    </xf>
    <xf numFmtId="164" fontId="22" fillId="5" borderId="1" xfId="0" applyFont="true" applyBorder="true" applyAlignment="true" applyProtection="true">
      <alignment horizontal="center" vertical="bottom" textRotation="0" wrapText="false" indent="0" shrinkToFit="false"/>
      <protection locked="true" hidden="false"/>
    </xf>
    <xf numFmtId="164" fontId="22" fillId="3" borderId="0" xfId="0" applyFont="true" applyBorder="true" applyAlignment="true" applyProtection="true">
      <alignment horizontal="center" vertical="bottom" textRotation="0" wrapText="false" indent="0" shrinkToFit="false"/>
      <protection locked="true" hidden="false"/>
    </xf>
    <xf numFmtId="164" fontId="4" fillId="3" borderId="0" xfId="0" applyFont="true" applyBorder="true" applyAlignment="true" applyProtection="true">
      <alignment horizontal="left" vertical="center" textRotation="0" wrapText="true" indent="0" shrinkToFit="false"/>
      <protection locked="true" hidden="false"/>
    </xf>
    <xf numFmtId="164" fontId="4" fillId="3" borderId="0" xfId="0" applyFont="true" applyBorder="false" applyAlignment="true" applyProtection="true">
      <alignment horizontal="left" vertical="center" textRotation="0" wrapText="true" indent="0" shrinkToFit="false"/>
      <protection locked="true" hidden="false"/>
    </xf>
    <xf numFmtId="164" fontId="23" fillId="6" borderId="12" xfId="25" applyFont="true" applyBorder="true" applyAlignment="false" applyProtection="false">
      <alignment horizontal="general" vertical="bottom" textRotation="0" wrapText="false" indent="0" shrinkToFit="false"/>
      <protection locked="true" hidden="false"/>
    </xf>
    <xf numFmtId="164" fontId="24" fillId="3" borderId="13" xfId="25" applyFont="true" applyBorder="true" applyAlignment="false" applyProtection="false">
      <alignment horizontal="general" vertical="bottom" textRotation="0" wrapText="false" indent="0" shrinkToFit="false"/>
      <protection locked="true" hidden="false"/>
    </xf>
    <xf numFmtId="164" fontId="25" fillId="3" borderId="13" xfId="20" applyFont="true" applyBorder="true" applyAlignment="true" applyProtection="true">
      <alignment horizontal="left" vertical="bottom" textRotation="0" wrapText="true" indent="0" shrinkToFit="false"/>
      <protection locked="true" hidden="false"/>
    </xf>
    <xf numFmtId="164" fontId="27" fillId="3" borderId="13" xfId="20" applyFont="true" applyBorder="true" applyAlignment="true" applyProtection="true">
      <alignment horizontal="general" vertical="bottom" textRotation="0" wrapText="true" indent="0" shrinkToFit="false"/>
      <protection locked="true" hidden="false"/>
    </xf>
    <xf numFmtId="164" fontId="4" fillId="3" borderId="13" xfId="25" applyFont="false" applyBorder="true" applyAlignment="false" applyProtection="false">
      <alignment horizontal="general" vertical="bottom" textRotation="0" wrapText="false" indent="0" shrinkToFit="false"/>
      <protection locked="true" hidden="false"/>
    </xf>
    <xf numFmtId="164" fontId="4" fillId="3" borderId="15" xfId="25" applyFont="false" applyBorder="true" applyAlignment="false" applyProtection="false">
      <alignment horizontal="general" vertical="bottom" textRotation="0" wrapText="false" indent="0" shrinkToFit="false"/>
      <protection locked="true" hidden="false"/>
    </xf>
    <xf numFmtId="164" fontId="23" fillId="3" borderId="16" xfId="25" applyFont="true" applyBorder="true" applyAlignment="false" applyProtection="false">
      <alignment horizontal="general" vertical="bottom" textRotation="0" wrapText="false" indent="0" shrinkToFit="false"/>
      <protection locked="true" hidden="false"/>
    </xf>
    <xf numFmtId="164" fontId="24" fillId="3" borderId="0" xfId="25" applyFont="true" applyBorder="true" applyAlignment="false" applyProtection="false">
      <alignment horizontal="general" vertical="bottom" textRotation="0" wrapText="false" indent="0" shrinkToFit="false"/>
      <protection locked="true" hidden="false"/>
    </xf>
    <xf numFmtId="164" fontId="27" fillId="3" borderId="0" xfId="20" applyFont="true" applyBorder="true" applyAlignment="true" applyProtection="true">
      <alignment horizontal="left" vertical="bottom" textRotation="0" wrapText="true" indent="0" shrinkToFit="false"/>
      <protection locked="true" hidden="false"/>
    </xf>
    <xf numFmtId="164" fontId="4" fillId="3" borderId="0" xfId="25" applyFont="false" applyBorder="true" applyAlignment="false" applyProtection="false">
      <alignment horizontal="general" vertical="bottom" textRotation="0" wrapText="false" indent="0" shrinkToFit="false"/>
      <protection locked="true" hidden="false"/>
    </xf>
    <xf numFmtId="164" fontId="4" fillId="3" borderId="17" xfId="25" applyFont="false" applyBorder="true" applyAlignment="false" applyProtection="false">
      <alignment horizontal="general" vertical="bottom" textRotation="0" wrapText="false" indent="0" shrinkToFit="false"/>
      <protection locked="true" hidden="false"/>
    </xf>
    <xf numFmtId="164" fontId="26" fillId="3" borderId="16" xfId="25" applyFont="true" applyBorder="true" applyAlignment="true" applyProtection="false">
      <alignment horizontal="left" vertical="top" textRotation="0" wrapText="true" indent="0" shrinkToFit="false"/>
      <protection locked="true" hidden="false"/>
    </xf>
    <xf numFmtId="164" fontId="27" fillId="3" borderId="0" xfId="20" applyFont="true" applyBorder="true" applyAlignment="true" applyProtection="true">
      <alignment horizontal="left" vertical="bottom" textRotation="0" wrapText="false" indent="0" shrinkToFit="false"/>
      <protection locked="true" hidden="false"/>
    </xf>
    <xf numFmtId="164" fontId="4" fillId="3" borderId="0" xfId="25" applyFont="true" applyBorder="true" applyAlignment="false" applyProtection="false">
      <alignment horizontal="general" vertical="bottom" textRotation="0" wrapText="false" indent="0" shrinkToFit="false"/>
      <protection locked="true" hidden="false"/>
    </xf>
    <xf numFmtId="164" fontId="28" fillId="3" borderId="16" xfId="25" applyFont="true" applyBorder="true" applyAlignment="true" applyProtection="false">
      <alignment horizontal="general" vertical="top" textRotation="0" wrapText="true" indent="0" shrinkToFit="false"/>
      <protection locked="true" hidden="false"/>
    </xf>
    <xf numFmtId="164" fontId="29" fillId="3" borderId="0" xfId="20" applyFont="true" applyBorder="true" applyAlignment="true" applyProtection="true">
      <alignment horizontal="general" vertical="bottom" textRotation="0" wrapText="false" indent="0" shrinkToFit="false"/>
      <protection locked="true" hidden="false"/>
    </xf>
    <xf numFmtId="164" fontId="24" fillId="3" borderId="0" xfId="25" applyFont="true" applyBorder="true" applyAlignment="true" applyProtection="false">
      <alignment horizontal="right" vertical="center" textRotation="0" wrapText="false" indent="0" shrinkToFit="false"/>
      <protection locked="true" hidden="false"/>
    </xf>
    <xf numFmtId="164" fontId="4" fillId="3" borderId="16" xfId="25" applyFont="false" applyBorder="true" applyAlignment="false" applyProtection="false">
      <alignment horizontal="general" vertical="bottom" textRotation="0" wrapText="false" indent="0" shrinkToFit="false"/>
      <protection locked="true" hidden="false"/>
    </xf>
    <xf numFmtId="164" fontId="4" fillId="3" borderId="0" xfId="25" applyFont="true" applyBorder="true" applyAlignment="true" applyProtection="false">
      <alignment horizontal="right" vertical="center" textRotation="0" wrapText="false" indent="0" shrinkToFit="false"/>
      <protection locked="true" hidden="false"/>
    </xf>
    <xf numFmtId="164" fontId="23" fillId="4" borderId="18" xfId="25" applyFont="true" applyBorder="true" applyAlignment="true" applyProtection="false">
      <alignment horizontal="left" vertical="top" textRotation="0" wrapText="true" indent="0" shrinkToFit="false"/>
      <protection locked="true" hidden="false"/>
    </xf>
    <xf numFmtId="164" fontId="10" fillId="2" borderId="19" xfId="25" applyFont="true" applyBorder="true" applyAlignment="true" applyProtection="true">
      <alignment horizontal="center" vertical="top" textRotation="0" wrapText="false" indent="0" shrinkToFit="false"/>
      <protection locked="false" hidden="false"/>
    </xf>
    <xf numFmtId="164" fontId="23" fillId="4" borderId="18" xfId="25" applyFont="true" applyBorder="true" applyAlignment="true" applyProtection="false">
      <alignment horizontal="left" vertical="bottom" textRotation="0" wrapText="true" indent="0" shrinkToFit="false"/>
      <protection locked="true" hidden="false"/>
    </xf>
    <xf numFmtId="164" fontId="10" fillId="2" borderId="18" xfId="25" applyFont="true" applyBorder="true" applyAlignment="true" applyProtection="true">
      <alignment horizontal="center" vertical="top" textRotation="0" wrapText="false" indent="0" shrinkToFit="false"/>
      <protection locked="false" hidden="false"/>
    </xf>
    <xf numFmtId="164" fontId="11" fillId="3" borderId="0" xfId="20" applyFont="true" applyBorder="true" applyAlignment="true" applyProtection="true">
      <alignment horizontal="left" vertical="bottom" textRotation="0" wrapText="true" indent="0" shrinkToFit="false"/>
      <protection locked="true" hidden="false"/>
    </xf>
    <xf numFmtId="164" fontId="4" fillId="3" borderId="0" xfId="25" applyFont="true" applyBorder="true" applyAlignment="true" applyProtection="false">
      <alignment horizontal="center" vertical="center" textRotation="0" wrapText="false" indent="0" shrinkToFit="false"/>
      <protection locked="true" hidden="false"/>
    </xf>
    <xf numFmtId="164" fontId="4" fillId="3" borderId="20" xfId="25" applyFont="false" applyBorder="true" applyAlignment="false" applyProtection="false">
      <alignment horizontal="general" vertical="bottom" textRotation="0" wrapText="false" indent="0" shrinkToFit="false"/>
      <protection locked="true" hidden="false"/>
    </xf>
    <xf numFmtId="164" fontId="4" fillId="3" borderId="21" xfId="25" applyFont="false" applyBorder="true" applyAlignment="false" applyProtection="false">
      <alignment horizontal="general" vertical="bottom" textRotation="0" wrapText="false" indent="0" shrinkToFit="false"/>
      <protection locked="true" hidden="false"/>
    </xf>
    <xf numFmtId="164" fontId="4" fillId="3" borderId="21" xfId="25" applyFont="true" applyBorder="true" applyAlignment="true" applyProtection="false">
      <alignment horizontal="general" vertical="top" textRotation="0" wrapText="true" indent="0" shrinkToFit="false"/>
      <protection locked="true" hidden="false"/>
    </xf>
    <xf numFmtId="164" fontId="4" fillId="3" borderId="21" xfId="25" applyFont="true" applyBorder="true" applyAlignment="true" applyProtection="false">
      <alignment horizontal="center" vertical="center" textRotation="0" wrapText="false" indent="0" shrinkToFit="false"/>
      <protection locked="true" hidden="false"/>
    </xf>
    <xf numFmtId="164" fontId="4" fillId="3" borderId="21" xfId="25" applyFont="true" applyBorder="true" applyAlignment="false" applyProtection="false">
      <alignment horizontal="general" vertical="bottom" textRotation="0" wrapText="false" indent="0" shrinkToFit="false"/>
      <protection locked="true" hidden="false"/>
    </xf>
    <xf numFmtId="164" fontId="4" fillId="3" borderId="22" xfId="25" applyFont="false" applyBorder="true" applyAlignment="false" applyProtection="false">
      <alignment horizontal="general" vertical="bottom" textRotation="0" wrapText="false" indent="0" shrinkToFit="false"/>
      <protection locked="true" hidden="false"/>
    </xf>
    <xf numFmtId="164" fontId="23" fillId="6" borderId="12" xfId="0" applyFont="true" applyBorder="true" applyAlignment="false" applyProtection="true">
      <alignment horizontal="general" vertical="bottom" textRotation="0" wrapText="false" indent="0" shrinkToFit="false"/>
      <protection locked="true" hidden="false"/>
    </xf>
    <xf numFmtId="164" fontId="0" fillId="3" borderId="13" xfId="0" applyFont="false" applyBorder="true" applyAlignment="false" applyProtection="true">
      <alignment horizontal="general" vertical="bottom" textRotation="0" wrapText="false" indent="0" shrinkToFit="false"/>
      <protection locked="true" hidden="false"/>
    </xf>
    <xf numFmtId="164" fontId="4" fillId="3" borderId="13" xfId="0" applyFont="true" applyBorder="true" applyAlignment="true" applyProtection="true">
      <alignment horizontal="right" vertical="center" textRotation="0" wrapText="false" indent="0" shrinkToFit="false"/>
      <protection locked="true" hidden="false"/>
    </xf>
    <xf numFmtId="164" fontId="0" fillId="2" borderId="23" xfId="0" applyFont="false" applyBorder="true" applyAlignment="true" applyProtection="true">
      <alignment horizontal="center" vertical="center" textRotation="0" wrapText="false" indent="0" shrinkToFit="false"/>
      <protection locked="false" hidden="false"/>
    </xf>
    <xf numFmtId="164" fontId="4" fillId="3" borderId="24" xfId="0" applyFont="true" applyBorder="true" applyAlignment="true" applyProtection="true">
      <alignment horizontal="center" vertical="center" textRotation="0" wrapText="false" indent="0" shrinkToFit="false"/>
      <protection locked="true" hidden="false"/>
    </xf>
    <xf numFmtId="164" fontId="0" fillId="3" borderId="15" xfId="0" applyFont="false" applyBorder="true" applyAlignment="false" applyProtection="true">
      <alignment horizontal="general" vertical="bottom" textRotation="0" wrapText="false" indent="0" shrinkToFit="false"/>
      <protection locked="true" hidden="false"/>
    </xf>
    <xf numFmtId="164" fontId="32" fillId="3" borderId="16" xfId="0" applyFont="tru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right" vertical="center" textRotation="0" wrapText="false" indent="0" shrinkToFit="false"/>
      <protection locked="true" hidden="false"/>
    </xf>
    <xf numFmtId="164" fontId="0" fillId="2" borderId="1" xfId="0" applyFont="false" applyBorder="true" applyAlignment="true" applyProtection="true">
      <alignment horizontal="center" vertical="center" textRotation="0" wrapText="false" indent="0" shrinkToFit="false"/>
      <protection locked="fals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16" xfId="0" applyFont="false" applyBorder="true" applyAlignment="false" applyProtection="true">
      <alignment horizontal="general"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0" fillId="2" borderId="25" xfId="0" applyFont="false" applyBorder="true" applyAlignment="true" applyProtection="true">
      <alignment horizontal="center" vertical="center" textRotation="0" wrapText="false" indent="0" shrinkToFit="false"/>
      <protection locked="false" hidden="false"/>
    </xf>
    <xf numFmtId="164" fontId="33" fillId="3" borderId="2" xfId="0" applyFont="true" applyBorder="true" applyAlignment="true" applyProtection="true">
      <alignment horizontal="center" vertical="center" textRotation="0" wrapText="false" indent="0" shrinkToFit="false"/>
      <protection locked="true" hidden="false"/>
    </xf>
    <xf numFmtId="164" fontId="11" fillId="3" borderId="16" xfId="20" applyFont="true" applyBorder="true" applyAlignment="true" applyProtection="true">
      <alignment horizontal="left" vertical="bottom" textRotation="0" wrapText="true" indent="0" shrinkToFit="false"/>
      <protection locked="true" hidden="false"/>
    </xf>
    <xf numFmtId="164" fontId="0" fillId="3" borderId="25" xfId="0" applyFont="false" applyBorder="true" applyAlignment="true" applyProtection="true">
      <alignment horizontal="center" vertical="center" textRotation="0" wrapText="false" indent="0" shrinkToFit="false"/>
      <protection locked="false" hidden="false"/>
    </xf>
    <xf numFmtId="164" fontId="0" fillId="3" borderId="20" xfId="0" applyFont="false" applyBorder="true" applyAlignment="false" applyProtection="true">
      <alignment horizontal="general" vertical="bottom" textRotation="0" wrapText="false" indent="0" shrinkToFit="false"/>
      <protection locked="true" hidden="false"/>
    </xf>
    <xf numFmtId="164" fontId="0" fillId="3" borderId="21" xfId="0" applyFont="false" applyBorder="true" applyAlignment="false" applyProtection="true">
      <alignment horizontal="general" vertical="bottom" textRotation="0" wrapText="false" indent="0" shrinkToFit="false"/>
      <protection locked="true" hidden="false"/>
    </xf>
    <xf numFmtId="164" fontId="4" fillId="3" borderId="21" xfId="0" applyFont="true" applyBorder="true" applyAlignment="true" applyProtection="true">
      <alignment horizontal="right" vertical="center" textRotation="0" wrapText="false" indent="0" shrinkToFit="false"/>
      <protection locked="true" hidden="false"/>
    </xf>
    <xf numFmtId="164" fontId="0" fillId="3" borderId="26" xfId="0" applyFont="false" applyBorder="true" applyAlignment="true" applyProtection="true">
      <alignment horizontal="center" vertical="center" textRotation="0" wrapText="false" indent="0" shrinkToFit="false"/>
      <protection locked="false" hidden="false"/>
    </xf>
    <xf numFmtId="164" fontId="4" fillId="3" borderId="27" xfId="0" applyFont="true" applyBorder="true" applyAlignment="true" applyProtection="true">
      <alignment horizontal="center" vertical="center" textRotation="0" wrapText="false" indent="0" shrinkToFit="false"/>
      <protection locked="true" hidden="false"/>
    </xf>
    <xf numFmtId="164" fontId="0" fillId="3" borderId="22" xfId="0" applyFont="false" applyBorder="true" applyAlignment="false" applyProtection="true">
      <alignment horizontal="general" vertical="bottom" textRotation="0" wrapText="false" indent="0" shrinkToFit="false"/>
      <protection locked="true" hidden="false"/>
    </xf>
    <xf numFmtId="164" fontId="0" fillId="6" borderId="13" xfId="0" applyFont="false" applyBorder="true" applyAlignment="false" applyProtection="true">
      <alignment horizontal="general" vertical="bottom" textRotation="0" wrapText="false" indent="0" shrinkToFit="false"/>
      <protection locked="true" hidden="false"/>
    </xf>
    <xf numFmtId="166" fontId="0" fillId="0" borderId="23" xfId="0" applyFont="fals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fals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7" fontId="4" fillId="0" borderId="1" xfId="0" applyFont="true" applyBorder="true" applyAlignment="true" applyProtection="true">
      <alignment horizontal="center" vertical="center" textRotation="0" wrapText="false" indent="0" shrinkToFit="false"/>
      <protection locked="true" hidden="false"/>
    </xf>
    <xf numFmtId="164" fontId="34" fillId="3" borderId="2" xfId="0" applyFont="true" applyBorder="true" applyAlignment="true" applyProtection="true">
      <alignment horizontal="center" vertical="center" textRotation="0" wrapText="false" indent="0" shrinkToFit="false"/>
      <protection locked="true" hidden="false"/>
    </xf>
    <xf numFmtId="164" fontId="0" fillId="3" borderId="14" xfId="0" applyFont="false" applyBorder="true" applyAlignment="false" applyProtection="true">
      <alignment horizontal="general" vertical="bottom" textRotation="0" wrapText="false" indent="0" shrinkToFit="false"/>
      <protection locked="true" hidden="false"/>
    </xf>
    <xf numFmtId="166" fontId="4" fillId="0" borderId="1" xfId="0" applyFont="true" applyBorder="true" applyAlignment="true" applyProtection="true">
      <alignment horizontal="center" vertical="center" textRotation="0" wrapText="false" indent="0" shrinkToFit="false"/>
      <protection locked="true" hidden="false"/>
    </xf>
    <xf numFmtId="164" fontId="11" fillId="3" borderId="16" xfId="20" applyFont="true" applyBorder="true" applyAlignment="true" applyProtection="true">
      <alignment horizontal="left" vertical="top" textRotation="0" wrapText="true" indent="0" shrinkToFit="false"/>
      <protection locked="true" hidden="false"/>
    </xf>
    <xf numFmtId="164" fontId="0" fillId="4" borderId="0" xfId="0" applyFont="false" applyBorder="true" applyAlignment="false" applyProtection="true">
      <alignment horizontal="general" vertical="bottom" textRotation="0" wrapText="false" indent="0" shrinkToFit="false"/>
      <protection locked="true" hidden="false"/>
    </xf>
    <xf numFmtId="164" fontId="4" fillId="4" borderId="0" xfId="0" applyFont="true" applyBorder="true" applyAlignment="true" applyProtection="true">
      <alignment horizontal="right" vertical="center" textRotation="0" wrapText="false" indent="0" shrinkToFit="false"/>
      <protection locked="true" hidden="false"/>
    </xf>
    <xf numFmtId="168" fontId="0" fillId="3" borderId="1" xfId="0" applyFont="false" applyBorder="true" applyAlignment="true" applyProtection="true">
      <alignment horizontal="center" vertical="center"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right" vertical="center" textRotation="0" wrapText="false" indent="0" shrinkToFit="false"/>
      <protection locked="true" hidden="false"/>
    </xf>
    <xf numFmtId="164" fontId="0" fillId="7" borderId="0" xfId="0" applyFont="false" applyBorder="true" applyAlignment="false" applyProtection="true">
      <alignment horizontal="general" vertical="bottom" textRotation="0" wrapText="false" indent="0" shrinkToFit="false"/>
      <protection locked="true" hidden="false"/>
    </xf>
    <xf numFmtId="164" fontId="4" fillId="7"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8" fontId="0" fillId="3" borderId="25" xfId="0" applyFont="false" applyBorder="true" applyAlignment="true" applyProtection="true">
      <alignment horizontal="center" vertical="center" textRotation="0" wrapText="false" indent="0" shrinkToFit="false"/>
      <protection locked="true" hidden="false"/>
    </xf>
    <xf numFmtId="164" fontId="4" fillId="3" borderId="13" xfId="0" applyFont="true" applyBorder="true" applyAlignment="true" applyProtection="true">
      <alignment horizontal="right" vertical="bottom" textRotation="0" wrapText="false" indent="0" shrinkToFit="false"/>
      <protection locked="true" hidden="false"/>
    </xf>
    <xf numFmtId="164" fontId="4" fillId="2" borderId="23" xfId="0" applyFont="true" applyBorder="true" applyAlignment="true" applyProtection="true">
      <alignment horizontal="center" vertical="center" textRotation="0" wrapText="false" indent="0" shrinkToFit="false"/>
      <protection locked="false" hidden="false"/>
    </xf>
    <xf numFmtId="164" fontId="0" fillId="3" borderId="24" xfId="0" applyFont="false" applyBorder="true" applyAlignment="true" applyProtection="true">
      <alignment horizontal="center" vertical="center" textRotation="0" wrapText="false" indent="0" shrinkToFit="false"/>
      <protection locked="true" hidden="false"/>
    </xf>
    <xf numFmtId="164" fontId="4" fillId="3" borderId="0" xfId="0" applyFont="true" applyBorder="true" applyAlignment="true" applyProtection="true">
      <alignment horizontal="right" vertical="bottom" textRotation="0" wrapText="false" indent="0" shrinkToFit="false"/>
      <protection locked="true" hidden="false"/>
    </xf>
    <xf numFmtId="164" fontId="4" fillId="4" borderId="1" xfId="25" applyFont="false" applyBorder="true" applyAlignment="true" applyProtection="true">
      <alignment horizontal="center" vertical="center" textRotation="0" wrapText="false" indent="0" shrinkToFit="false"/>
      <protection locked="false" hidden="false"/>
    </xf>
    <xf numFmtId="164" fontId="35" fillId="0" borderId="0" xfId="0" applyFont="true" applyBorder="false" applyAlignment="false" applyProtection="true">
      <alignment horizontal="general" vertical="bottom" textRotation="0" wrapText="false" indent="0" shrinkToFit="false"/>
      <protection locked="true" hidden="false"/>
    </xf>
    <xf numFmtId="164" fontId="36" fillId="3" borderId="16" xfId="25" applyFont="true" applyBorder="true" applyAlignment="true" applyProtection="true">
      <alignment horizontal="left" vertical="top" textRotation="0" wrapText="true" indent="0" shrinkToFit="false"/>
      <protection locked="true" hidden="false"/>
    </xf>
    <xf numFmtId="168" fontId="0" fillId="2" borderId="1" xfId="0" applyFont="false" applyBorder="true" applyAlignment="true" applyProtection="true">
      <alignment horizontal="center" vertical="center" textRotation="0" wrapText="false" indent="0" shrinkToFit="false"/>
      <protection locked="false" hidden="false"/>
    </xf>
    <xf numFmtId="164" fontId="11" fillId="3" borderId="16" xfId="20" applyFont="true" applyBorder="true" applyAlignment="true" applyProtection="true">
      <alignment horizontal="left" vertical="bottom" textRotation="0" wrapText="false" indent="0" shrinkToFit="false"/>
      <protection locked="true" hidden="false"/>
    </xf>
    <xf numFmtId="168" fontId="0" fillId="0" borderId="1" xfId="0" applyFont="false" applyBorder="true" applyAlignment="true" applyProtection="true">
      <alignment horizontal="center" vertical="center" textRotation="0" wrapText="false" indent="0" shrinkToFit="false"/>
      <protection locked="true" hidden="false"/>
    </xf>
    <xf numFmtId="166" fontId="0" fillId="3" borderId="1" xfId="0" applyFont="false" applyBorder="true" applyAlignment="true" applyProtection="true">
      <alignment horizontal="center" vertical="center" textRotation="0" wrapText="false" indent="0" shrinkToFit="false"/>
      <protection locked="true" hidden="false"/>
    </xf>
    <xf numFmtId="164" fontId="37" fillId="3" borderId="21" xfId="0" applyFont="true" applyBorder="true" applyAlignment="true" applyProtection="true">
      <alignment horizontal="left" vertical="top" textRotation="0" wrapText="true" indent="0" shrinkToFit="false"/>
      <protection locked="true" hidden="false"/>
    </xf>
    <xf numFmtId="164" fontId="0" fillId="0" borderId="16" xfId="0" applyFont="false" applyBorder="true" applyAlignment="fals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center" vertical="center" textRotation="0" wrapText="false" indent="0" shrinkToFit="false"/>
      <protection locked="false" hidden="false"/>
    </xf>
    <xf numFmtId="169" fontId="0" fillId="3" borderId="1" xfId="0" applyFont="false" applyBorder="true" applyAlignment="true" applyProtection="true">
      <alignment horizontal="center" vertical="center" textRotation="0" wrapText="false" indent="0" shrinkToFit="false"/>
      <protection locked="true" hidden="false"/>
    </xf>
    <xf numFmtId="164" fontId="11" fillId="3" borderId="16" xfId="20" applyFont="true" applyBorder="true" applyAlignment="true" applyProtection="true">
      <alignment horizontal="general" vertical="bottom" textRotation="0" wrapText="false" indent="0" shrinkToFit="false"/>
      <protection locked="true" hidden="false"/>
    </xf>
    <xf numFmtId="164" fontId="38" fillId="3" borderId="16" xfId="0" applyFont="true" applyBorder="true" applyAlignment="true" applyProtection="true">
      <alignment horizontal="left" vertical="top" textRotation="0" wrapText="tru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4" fillId="3" borderId="17" xfId="0" applyFont="true" applyBorder="true" applyAlignment="false" applyProtection="true">
      <alignment horizontal="general" vertical="bottom" textRotation="0" wrapText="false" indent="0" shrinkToFit="false"/>
      <protection locked="true" hidden="false"/>
    </xf>
    <xf numFmtId="164" fontId="4" fillId="3" borderId="21" xfId="0" applyFont="true" applyBorder="true" applyAlignment="true" applyProtection="true">
      <alignment horizontal="right" vertical="bottom" textRotation="0" wrapText="false" indent="0" shrinkToFit="false"/>
      <protection locked="true" hidden="false"/>
    </xf>
    <xf numFmtId="166" fontId="0" fillId="3" borderId="26" xfId="0" applyFont="false" applyBorder="true" applyAlignment="true" applyProtection="true">
      <alignment horizontal="center" vertical="center" textRotation="0" wrapText="false" indent="0" shrinkToFit="false"/>
      <protection locked="true" hidden="false"/>
    </xf>
    <xf numFmtId="164" fontId="0" fillId="3" borderId="27" xfId="0" applyFont="false" applyBorder="true" applyAlignment="true" applyProtection="true">
      <alignment horizontal="center" vertical="center" textRotation="0" wrapText="false" indent="0" shrinkToFit="false"/>
      <protection locked="true" hidden="false"/>
    </xf>
    <xf numFmtId="164" fontId="4" fillId="3" borderId="22" xfId="0" applyFont="true" applyBorder="true" applyAlignment="false" applyProtection="true">
      <alignment horizontal="general" vertical="bottom" textRotation="0" wrapText="false" indent="0" shrinkToFit="false"/>
      <protection locked="true" hidden="false"/>
    </xf>
    <xf numFmtId="164" fontId="23" fillId="6" borderId="16" xfId="0" applyFont="tru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0" fillId="2" borderId="28" xfId="0" applyFont="false" applyBorder="true" applyAlignment="true" applyProtection="true">
      <alignment horizontal="center" vertical="center" textRotation="0" wrapText="false" indent="0" shrinkToFit="false"/>
      <protection locked="false" hidden="false"/>
    </xf>
    <xf numFmtId="164" fontId="4" fillId="3" borderId="29" xfId="0" applyFont="true" applyBorder="true" applyAlignment="true" applyProtection="true">
      <alignment horizontal="center" vertical="center" textRotation="0" wrapText="false" indent="0" shrinkToFit="false"/>
      <protection locked="true" hidden="false"/>
    </xf>
    <xf numFmtId="166" fontId="0" fillId="3" borderId="30" xfId="0" applyFont="false" applyBorder="true" applyAlignment="true" applyProtection="true">
      <alignment horizontal="center" vertical="center" textRotation="0" wrapText="false" indent="0" shrinkToFit="false"/>
      <protection locked="true" hidden="false"/>
    </xf>
    <xf numFmtId="164" fontId="38" fillId="3" borderId="0" xfId="0" applyFont="true" applyBorder="true" applyAlignment="false" applyProtection="true">
      <alignment horizontal="general" vertical="bottom" textRotation="0" wrapText="false" indent="0" shrinkToFit="false"/>
      <protection locked="true" hidden="false"/>
    </xf>
    <xf numFmtId="164" fontId="0" fillId="3" borderId="29" xfId="0" applyFont="false" applyBorder="true" applyAlignment="true" applyProtection="true">
      <alignment horizontal="center" vertical="bottom" textRotation="0" wrapText="false" indent="0" shrinkToFit="false"/>
      <protection locked="true" hidden="false"/>
    </xf>
    <xf numFmtId="164" fontId="35" fillId="3" borderId="0" xfId="0" applyFont="true" applyBorder="true" applyAlignment="true" applyProtection="true">
      <alignment horizontal="right" vertical="bottom" textRotation="0" wrapText="false" indent="0" shrinkToFit="false"/>
      <protection locked="true" hidden="false"/>
    </xf>
    <xf numFmtId="164" fontId="35" fillId="3" borderId="0" xfId="0" applyFont="true" applyBorder="true" applyAlignment="true" applyProtection="true">
      <alignment horizontal="center" vertical="bottom" textRotation="0" wrapText="false" indent="0" shrinkToFit="false"/>
      <protection locked="true" hidden="false"/>
    </xf>
    <xf numFmtId="166" fontId="0" fillId="3" borderId="31" xfId="0" applyFont="false" applyBorder="true" applyAlignment="true" applyProtection="true">
      <alignment horizontal="center" vertical="center" textRotation="0" wrapText="false" indent="0" shrinkToFit="false"/>
      <protection locked="true" hidden="false"/>
    </xf>
    <xf numFmtId="166" fontId="0" fillId="3" borderId="0" xfId="0" applyFont="false" applyBorder="true" applyAlignment="true" applyProtection="true">
      <alignment horizontal="center" vertical="center" textRotation="0" wrapText="false" indent="0" shrinkToFit="false"/>
      <protection locked="true" hidden="false"/>
    </xf>
    <xf numFmtId="164" fontId="4" fillId="3" borderId="0" xfId="0" applyFont="true" applyBorder="true" applyAlignment="true" applyProtection="true">
      <alignment horizontal="center" vertical="center" textRotation="0" wrapText="false" indent="0" shrinkToFit="false"/>
      <protection locked="true" hidden="false"/>
    </xf>
    <xf numFmtId="164" fontId="0" fillId="3" borderId="32" xfId="0" applyFont="false" applyBorder="true" applyAlignment="false" applyProtection="true">
      <alignment horizontal="general" vertical="bottom" textRotation="0" wrapText="false" indent="0" shrinkToFit="false"/>
      <protection locked="true" hidden="false"/>
    </xf>
    <xf numFmtId="164" fontId="13" fillId="3" borderId="13" xfId="0" applyFont="true" applyBorder="true" applyAlignment="true" applyProtection="true">
      <alignment horizontal="right" vertical="center" textRotation="0" wrapText="false" indent="0" shrinkToFit="false"/>
      <protection locked="true" hidden="false"/>
    </xf>
    <xf numFmtId="167" fontId="0" fillId="3" borderId="23" xfId="0" applyFont="false" applyBorder="true" applyAlignment="true" applyProtection="true">
      <alignment horizontal="center" vertical="center" textRotation="0" wrapText="false" indent="0" shrinkToFit="false"/>
      <protection locked="true" hidden="false"/>
    </xf>
    <xf numFmtId="164" fontId="4" fillId="3" borderId="13" xfId="0" applyFont="true" applyBorder="true" applyAlignment="true" applyProtection="true">
      <alignment horizontal="center" vertical="center" textRotation="0" wrapText="false" indent="0" shrinkToFit="false"/>
      <protection locked="true" hidden="false"/>
    </xf>
    <xf numFmtId="164" fontId="13" fillId="3" borderId="0" xfId="0" applyFont="true" applyBorder="true" applyAlignment="true" applyProtection="true">
      <alignment horizontal="right" vertical="center" textRotation="0" wrapText="false" indent="0" shrinkToFit="false"/>
      <protection locked="true" hidden="false"/>
    </xf>
    <xf numFmtId="167" fontId="0" fillId="3" borderId="28" xfId="0" applyFont="false" applyBorder="true" applyAlignment="true" applyProtection="true">
      <alignment horizontal="center" vertical="center" textRotation="0" wrapText="false" indent="0" shrinkToFit="false"/>
      <protection locked="true" hidden="false"/>
    </xf>
    <xf numFmtId="164" fontId="34" fillId="3" borderId="0" xfId="0" applyFont="true" applyBorder="true" applyAlignment="true" applyProtection="true">
      <alignment horizontal="center" vertical="center" textRotation="0" wrapText="false" indent="0" shrinkToFit="false"/>
      <protection locked="true" hidden="false"/>
    </xf>
    <xf numFmtId="164" fontId="0" fillId="3" borderId="0" xfId="0" applyFont="true" applyBorder="true" applyAlignment="true" applyProtection="true">
      <alignment horizontal="right" vertical="center" textRotation="0" wrapText="false" indent="0" shrinkToFit="false"/>
      <protection locked="true" hidden="false"/>
    </xf>
    <xf numFmtId="167" fontId="0" fillId="3" borderId="1" xfId="0" applyFont="false" applyBorder="true" applyAlignment="true" applyProtection="true">
      <alignment horizontal="center" vertical="center" textRotation="0" wrapText="false" indent="0" shrinkToFit="false"/>
      <protection locked="true" hidden="false"/>
    </xf>
    <xf numFmtId="164" fontId="0" fillId="8" borderId="12" xfId="0" applyFont="false" applyBorder="true" applyAlignment="false" applyProtection="true">
      <alignment horizontal="general" vertical="bottom" textRotation="0" wrapText="false" indent="0" shrinkToFit="false"/>
      <protection locked="true" hidden="false"/>
    </xf>
    <xf numFmtId="164" fontId="4" fillId="8" borderId="13" xfId="0" applyFont="true" applyBorder="true" applyAlignment="true" applyProtection="true">
      <alignment horizontal="center" vertical="bottom" textRotation="0" wrapText="false" indent="0" shrinkToFit="false"/>
      <protection locked="true" hidden="false"/>
    </xf>
    <xf numFmtId="164" fontId="35" fillId="8" borderId="13" xfId="0" applyFont="true" applyBorder="true" applyAlignment="true" applyProtection="true">
      <alignment horizontal="center" vertical="bottom" textRotation="0" wrapText="false" indent="0" shrinkToFit="false"/>
      <protection locked="true" hidden="false"/>
    </xf>
    <xf numFmtId="164" fontId="35" fillId="8" borderId="15" xfId="0" applyFont="true" applyBorder="true" applyAlignment="true" applyProtection="true">
      <alignment horizontal="left" vertical="bottom" textRotation="0" wrapText="false" indent="0" shrinkToFit="false"/>
      <protection locked="true" hidden="false"/>
    </xf>
    <xf numFmtId="164" fontId="35" fillId="3" borderId="0" xfId="0" applyFont="true" applyBorder="true" applyAlignment="false" applyProtection="true">
      <alignment horizontal="general" vertical="bottom" textRotation="0" wrapText="false" indent="0" shrinkToFit="false"/>
      <protection locked="true" hidden="false"/>
    </xf>
    <xf numFmtId="164" fontId="0" fillId="3" borderId="33" xfId="0" applyFont="false" applyBorder="true" applyAlignment="fals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right" vertical="bottom" textRotation="0" wrapText="false" indent="0" shrinkToFit="false"/>
      <protection locked="true" hidden="false"/>
    </xf>
    <xf numFmtId="168" fontId="0" fillId="3" borderId="1" xfId="0" applyFont="false" applyBorder="true" applyAlignment="true" applyProtection="true">
      <alignment horizontal="center" vertical="bottom" textRotation="0" wrapText="false" indent="0" shrinkToFit="false"/>
      <protection locked="true" hidden="false"/>
    </xf>
    <xf numFmtId="164" fontId="4" fillId="3" borderId="34" xfId="0" applyFont="true" applyBorder="true" applyAlignment="false" applyProtection="true">
      <alignment horizontal="general" vertical="bottom" textRotation="0" wrapText="false" indent="0" shrinkToFit="false"/>
      <protection locked="true" hidden="false"/>
    </xf>
    <xf numFmtId="168" fontId="0" fillId="3" borderId="0" xfId="0" applyFont="false" applyBorder="true" applyAlignment="true" applyProtection="true">
      <alignment horizontal="center" vertical="bottom" textRotation="0" wrapText="false" indent="0" shrinkToFit="false"/>
      <protection locked="true" hidden="false"/>
    </xf>
    <xf numFmtId="170" fontId="0" fillId="3" borderId="1" xfId="0" applyFont="false" applyBorder="true" applyAlignment="true" applyProtection="true">
      <alignment horizontal="center" vertical="bottom" textRotation="0" wrapText="false" indent="0" shrinkToFit="false"/>
      <protection locked="true" hidden="false"/>
    </xf>
    <xf numFmtId="170" fontId="0" fillId="3" borderId="0" xfId="0" applyFont="false" applyBorder="true" applyAlignment="true" applyProtection="true">
      <alignment horizontal="center" vertical="bottom" textRotation="0" wrapText="false" indent="0" shrinkToFit="false"/>
      <protection locked="true" hidden="false"/>
    </xf>
    <xf numFmtId="167" fontId="0" fillId="3" borderId="25" xfId="0" applyFont="false" applyBorder="true" applyAlignment="true" applyProtection="true">
      <alignment horizontal="center" vertical="center" textRotation="0" wrapText="false" indent="0" shrinkToFit="false"/>
      <protection locked="true" hidden="false"/>
    </xf>
    <xf numFmtId="171" fontId="0" fillId="3" borderId="1" xfId="0" applyFont="false" applyBorder="true" applyAlignment="true" applyProtection="true">
      <alignment horizontal="center" vertical="bottom" textRotation="0" wrapText="false" indent="0" shrinkToFit="false"/>
      <protection locked="true" hidden="false"/>
    </xf>
    <xf numFmtId="171" fontId="4" fillId="3" borderId="1" xfId="0" applyFont="true" applyBorder="true" applyAlignment="true" applyProtection="true">
      <alignment horizontal="right" vertical="bottom" textRotation="0" wrapText="false" indent="0" shrinkToFit="false"/>
      <protection locked="true" hidden="false"/>
    </xf>
    <xf numFmtId="166" fontId="0" fillId="3" borderId="0" xfId="0" applyFont="false" applyBorder="true" applyAlignment="true" applyProtection="true">
      <alignment horizontal="center" vertical="bottom" textRotation="0" wrapText="false" indent="0" shrinkToFit="false"/>
      <protection locked="true" hidden="false"/>
    </xf>
    <xf numFmtId="166" fontId="0" fillId="3" borderId="25" xfId="0" applyFont="false" applyBorder="true" applyAlignment="true" applyProtection="true">
      <alignment horizontal="center" vertical="center" textRotation="0" wrapText="false" indent="0" shrinkToFit="false"/>
      <protection locked="true" hidden="false"/>
    </xf>
    <xf numFmtId="164" fontId="4" fillId="3" borderId="0" xfId="25" applyFont="true" applyBorder="true" applyAlignment="true" applyProtection="true">
      <alignment horizontal="right" vertical="center" textRotation="0" wrapText="false" indent="0" shrinkToFit="false"/>
      <protection locked="true" hidden="false"/>
    </xf>
    <xf numFmtId="170" fontId="4" fillId="3" borderId="1" xfId="25" applyFont="true" applyBorder="true" applyAlignment="true" applyProtection="true">
      <alignment horizontal="center" vertical="center" textRotation="0" wrapText="false" indent="0" shrinkToFit="false"/>
      <protection locked="true" hidden="false"/>
    </xf>
    <xf numFmtId="171" fontId="0" fillId="3" borderId="0" xfId="0" applyFont="false" applyBorder="true" applyAlignment="true" applyProtection="true">
      <alignment horizontal="center" vertical="bottom" textRotation="0" wrapText="false" indent="0" shrinkToFit="false"/>
      <protection locked="true" hidden="false"/>
    </xf>
    <xf numFmtId="167" fontId="0" fillId="0" borderId="1" xfId="0" applyFont="false" applyBorder="true" applyAlignment="true" applyProtection="true">
      <alignment horizontal="center" vertical="bottom" textRotation="0" wrapText="false" indent="0" shrinkToFit="false"/>
      <protection locked="true" hidden="false"/>
    </xf>
    <xf numFmtId="170" fontId="4" fillId="3" borderId="0" xfId="0" applyFont="true" applyBorder="true" applyAlignment="true" applyProtection="true">
      <alignment horizontal="center" vertical="center" textRotation="0" wrapText="false" indent="0" shrinkToFit="false"/>
      <protection locked="true" hidden="false"/>
    </xf>
    <xf numFmtId="164" fontId="4" fillId="3" borderId="16" xfId="0" applyFont="true" applyBorder="true" applyAlignment="true" applyProtection="true">
      <alignment horizontal="righ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false" applyBorder="true" applyAlignment="true" applyProtection="true">
      <alignment horizontal="right" vertical="bottom" textRotation="0" wrapText="false" indent="0" shrinkToFit="false"/>
      <protection locked="true" hidden="false"/>
    </xf>
    <xf numFmtId="165" fontId="4" fillId="3" borderId="0" xfId="0" applyFont="true" applyBorder="true" applyAlignment="true" applyProtection="true">
      <alignment horizontal="center" vertical="bottom" textRotation="0" wrapText="false" indent="0" shrinkToFit="false"/>
      <protection locked="true" hidden="false"/>
    </xf>
    <xf numFmtId="164" fontId="4" fillId="3" borderId="21" xfId="0" applyFont="true" applyBorder="true" applyAlignment="true" applyProtection="true">
      <alignment horizontal="left" vertical="bottom" textRotation="0" wrapText="false" indent="0" shrinkToFit="false"/>
      <protection locked="true" hidden="false"/>
    </xf>
    <xf numFmtId="164" fontId="0" fillId="3" borderId="21" xfId="0" applyFont="false" applyBorder="true" applyAlignment="true" applyProtection="true">
      <alignment horizontal="center" vertical="bottom" textRotation="0" wrapText="false" indent="0" shrinkToFit="false"/>
      <protection locked="true" hidden="false"/>
    </xf>
    <xf numFmtId="164" fontId="32" fillId="3" borderId="0" xfId="0" applyFont="true" applyBorder="false" applyAlignment="false" applyProtection="true">
      <alignment horizontal="general" vertical="bottom" textRotation="0" wrapText="false" indent="0" shrinkToFit="false"/>
      <protection locked="true" hidden="false"/>
    </xf>
    <xf numFmtId="164" fontId="23" fillId="3"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right" vertical="bottom" textRotation="0" wrapText="false" indent="0" shrinkToFit="false"/>
      <protection locked="true" hidden="false"/>
    </xf>
    <xf numFmtId="167" fontId="0" fillId="0" borderId="1" xfId="0" applyFont="false" applyBorder="true" applyAlignment="true" applyProtection="true">
      <alignment horizontal="center" vertical="center" textRotation="0" wrapText="false" indent="0" shrinkToFit="false"/>
      <protection locked="fals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false" hidden="false"/>
    </xf>
    <xf numFmtId="164" fontId="4" fillId="0" borderId="0" xfId="0" applyFont="true" applyBorder="true" applyAlignment="true" applyProtection="false">
      <alignment horizontal="right" vertical="bottom" textRotation="0" wrapText="false" indent="0" shrinkToFit="false"/>
      <protection locked="true" hidden="false"/>
    </xf>
    <xf numFmtId="171" fontId="0" fillId="0" borderId="0" xfId="0" applyFont="false" applyBorder="false" applyAlignment="true" applyProtection="false">
      <alignment horizontal="center" vertical="bottom" textRotation="0" wrapText="false" indent="0" shrinkToFit="false"/>
      <protection locked="true" hidden="false"/>
    </xf>
    <xf numFmtId="171" fontId="0" fillId="0" borderId="0" xfId="0" applyFont="false" applyBorder="true" applyAlignment="true" applyProtection="true">
      <alignment horizontal="center" vertical="center" textRotation="0" wrapText="false" indent="0" shrinkToFit="false"/>
      <protection locked="false" hidden="false"/>
    </xf>
    <xf numFmtId="172" fontId="0" fillId="0" borderId="0" xfId="0" applyFont="false" applyBorder="true" applyAlignment="true" applyProtection="true">
      <alignment horizontal="center" vertical="center" textRotation="0" wrapText="false" indent="0" shrinkToFit="false"/>
      <protection locked="false" hidden="false"/>
    </xf>
    <xf numFmtId="164" fontId="64" fillId="0" borderId="0" xfId="0" applyFont="true" applyBorder="true" applyAlignment="true" applyProtection="false">
      <alignment horizontal="center" vertical="bottom" textRotation="0" wrapText="false" indent="0" shrinkToFit="false"/>
      <protection locked="true" hidden="false"/>
    </xf>
    <xf numFmtId="164" fontId="35" fillId="0" borderId="0" xfId="0" applyFont="true" applyBorder="false" applyAlignment="true" applyProtection="false">
      <alignment horizontal="center" vertical="bottom" textRotation="0" wrapText="false" indent="0" shrinkToFit="false"/>
      <protection locked="true" hidden="false"/>
    </xf>
    <xf numFmtId="164" fontId="64" fillId="0" borderId="0" xfId="0" applyFont="true" applyBorder="false" applyAlignment="true" applyProtection="false">
      <alignment horizontal="center" vertical="bottom" textRotation="0" wrapText="false" indent="0" shrinkToFit="false"/>
      <protection locked="true" hidden="false"/>
    </xf>
    <xf numFmtId="164" fontId="35" fillId="0" borderId="0"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6"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35" fillId="3" borderId="0" xfId="0" applyFont="true" applyBorder="true" applyAlignment="true" applyProtection="false">
      <alignment horizontal="right" vertical="bottom" textRotation="0" wrapText="false" indent="0" shrinkToFit="false"/>
      <protection locked="true" hidden="false"/>
    </xf>
    <xf numFmtId="164" fontId="35" fillId="3" borderId="0"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right" vertical="bottom" textRotation="0" wrapText="false" indent="0" shrinkToFit="false"/>
      <protection locked="true" hidden="false"/>
    </xf>
    <xf numFmtId="166" fontId="0" fillId="3" borderId="23"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4" xfId="0" applyFont="true" applyBorder="true" applyAlignment="true" applyProtection="false">
      <alignment horizontal="center" vertical="bottom" textRotation="0" wrapText="false" indent="0" shrinkToFit="false"/>
      <protection locked="true" hidden="false"/>
    </xf>
    <xf numFmtId="166" fontId="0" fillId="0" borderId="1" xfId="0" applyFont="false" applyBorder="true" applyAlignment="true" applyProtection="false">
      <alignment horizontal="center" vertical="bottom" textRotation="0" wrapText="false" indent="0" shrinkToFit="false"/>
      <protection locked="true" hidden="false"/>
    </xf>
    <xf numFmtId="164" fontId="0" fillId="0" borderId="25" xfId="0" applyFont="true" applyBorder="true" applyAlignment="true" applyProtection="false">
      <alignment horizontal="center" vertical="bottom" textRotation="0" wrapText="false" indent="0" shrinkToFit="false"/>
      <protection locked="true" hidden="false"/>
    </xf>
    <xf numFmtId="164" fontId="0" fillId="0" borderId="35" xfId="0" applyFont="true" applyBorder="true" applyAlignment="true" applyProtection="false">
      <alignment horizontal="center" vertical="bottom" textRotation="0" wrapText="false" indent="0" shrinkToFit="false"/>
      <protection locked="true" hidden="false"/>
    </xf>
    <xf numFmtId="164" fontId="0" fillId="0" borderId="28"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65" fillId="0" borderId="0" xfId="25" applyFont="true" applyBorder="false" applyAlignment="false" applyProtection="false">
      <alignment horizontal="general" vertical="bottom" textRotation="0" wrapText="false" indent="0" shrinkToFit="false"/>
      <protection locked="true" hidden="false"/>
    </xf>
    <xf numFmtId="166" fontId="4" fillId="0" borderId="0" xfId="25" applyFont="false" applyBorder="false" applyAlignment="false" applyProtection="false">
      <alignment horizontal="general" vertical="bottom" textRotation="0" wrapText="false" indent="0" shrinkToFit="false"/>
      <protection locked="true" hidden="false"/>
    </xf>
    <xf numFmtId="173" fontId="4" fillId="0" borderId="0" xfId="25" applyFont="false" applyBorder="false" applyAlignment="false" applyProtection="false">
      <alignment horizontal="general" vertical="bottom" textRotation="0" wrapText="false" indent="0" shrinkToFit="false"/>
      <protection locked="true" hidden="false"/>
    </xf>
    <xf numFmtId="164" fontId="64" fillId="0" borderId="0" xfId="25" applyFont="true" applyBorder="false" applyAlignment="false" applyProtection="false">
      <alignment horizontal="general" vertical="bottom" textRotation="0" wrapText="false" indent="0" shrinkToFit="false"/>
      <protection locked="true" hidden="false"/>
    </xf>
    <xf numFmtId="164" fontId="64" fillId="0" borderId="0" xfId="25" applyFont="true" applyBorder="false" applyAlignment="true" applyProtection="true">
      <alignment horizontal="center" vertical="bottom" textRotation="0" wrapText="false" indent="0" shrinkToFit="false"/>
      <protection locked="true" hidden="false"/>
    </xf>
    <xf numFmtId="164" fontId="66" fillId="0" borderId="0" xfId="25" applyFont="true" applyBorder="false" applyAlignment="true" applyProtection="true">
      <alignment horizontal="center" vertical="bottom" textRotation="0" wrapText="false" indent="0" shrinkToFit="false"/>
      <protection locked="true" hidden="false"/>
    </xf>
    <xf numFmtId="164" fontId="64" fillId="0" borderId="0" xfId="25" applyFont="true" applyBorder="false" applyAlignment="true" applyProtection="false">
      <alignment horizontal="center" vertical="bottom" textRotation="0" wrapText="false" indent="0" shrinkToFit="false"/>
      <protection locked="true" hidden="false"/>
    </xf>
    <xf numFmtId="168" fontId="4" fillId="0" borderId="0" xfId="25" applyFont="false" applyBorder="false" applyAlignment="true" applyProtection="false">
      <alignment horizontal="center" vertical="bottom" textRotation="0" wrapText="false" indent="0" shrinkToFit="false"/>
      <protection locked="true" hidden="false"/>
    </xf>
    <xf numFmtId="166" fontId="4" fillId="0" borderId="0" xfId="25" applyFont="false" applyBorder="false" applyAlignment="true" applyProtection="false">
      <alignment horizontal="center" vertical="bottom" textRotation="0" wrapText="false" indent="0" shrinkToFit="false"/>
      <protection locked="true" hidden="false"/>
    </xf>
    <xf numFmtId="166" fontId="4" fillId="0" borderId="16" xfId="25" applyFont="false" applyBorder="true" applyAlignment="true" applyProtection="true">
      <alignment horizontal="center" vertical="bottom" textRotation="0" wrapText="false" indent="0" shrinkToFit="false"/>
      <protection locked="true" hidden="false"/>
    </xf>
    <xf numFmtId="171" fontId="4" fillId="0" borderId="0" xfId="25" applyFont="false" applyBorder="false" applyAlignment="true" applyProtection="true">
      <alignment horizontal="center" vertical="bottom" textRotation="0" wrapText="false" indent="0" shrinkToFit="false"/>
      <protection locked="true" hidden="false"/>
    </xf>
    <xf numFmtId="167" fontId="4" fillId="0" borderId="0" xfId="25" applyFont="false" applyBorder="false" applyAlignment="true" applyProtection="true">
      <alignment horizontal="center" vertical="bottom" textRotation="0" wrapText="false" indent="0" shrinkToFit="false"/>
      <protection locked="true" hidden="false"/>
    </xf>
    <xf numFmtId="174" fontId="4" fillId="0" borderId="0" xfId="25" applyFont="false" applyBorder="false" applyAlignment="true" applyProtection="true">
      <alignment horizontal="center" vertical="bottom" textRotation="0" wrapText="false" indent="0" shrinkToFit="false"/>
      <protection locked="true" hidden="false"/>
    </xf>
    <xf numFmtId="174" fontId="4" fillId="0" borderId="0" xfId="25" applyFont="false" applyBorder="false" applyAlignment="true" applyProtection="false">
      <alignment horizontal="center" vertical="bottom" textRotation="0" wrapText="false" indent="0" shrinkToFit="false"/>
      <protection locked="true" hidden="false"/>
    </xf>
    <xf numFmtId="164" fontId="64" fillId="0" borderId="1" xfId="25" applyFont="true" applyBorder="true" applyAlignment="true" applyProtection="false">
      <alignment horizontal="center" vertical="bottom" textRotation="0" wrapText="false" indent="0" shrinkToFit="false"/>
      <protection locked="true" hidden="false"/>
    </xf>
    <xf numFmtId="164" fontId="4" fillId="0" borderId="1" xfId="25" applyFont="true" applyBorder="true" applyAlignment="false" applyProtection="false">
      <alignment horizontal="general" vertical="bottom" textRotation="0" wrapText="false" indent="0" shrinkToFit="false"/>
      <protection locked="true" hidden="false"/>
    </xf>
    <xf numFmtId="164" fontId="4" fillId="0" borderId="1" xfId="25" applyFont="false" applyBorder="true" applyAlignment="false" applyProtection="false">
      <alignment horizontal="general" vertical="bottom" textRotation="0" wrapText="false" indent="0" shrinkToFit="false"/>
      <protection locked="true" hidden="false"/>
    </xf>
    <xf numFmtId="168" fontId="4" fillId="0" borderId="0" xfId="25"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true" applyAlignment="false" applyProtection="false">
      <alignment horizontal="general" vertical="bottom" textRotation="0" wrapText="false" indent="0" shrinkToFit="false"/>
      <protection locked="true" hidden="false"/>
    </xf>
    <xf numFmtId="164" fontId="4" fillId="0" borderId="25" xfId="25" applyFont="false" applyBorder="true" applyAlignment="false" applyProtection="false">
      <alignment horizontal="general" vertical="bottom" textRotation="0" wrapText="false" indent="0" shrinkToFit="false"/>
      <protection locked="true" hidden="false"/>
    </xf>
    <xf numFmtId="164" fontId="4" fillId="0" borderId="25" xfId="25" applyFont="true" applyBorder="true" applyAlignment="true" applyProtection="false">
      <alignment horizontal="center" vertical="bottom" textRotation="0" wrapText="false" indent="0" shrinkToFit="false"/>
      <protection locked="true" hidden="false"/>
    </xf>
    <xf numFmtId="164" fontId="4" fillId="0" borderId="0" xfId="25" applyFont="false" applyBorder="true" applyAlignment="true" applyProtection="false">
      <alignment horizontal="center" vertical="bottom" textRotation="0" wrapText="false" indent="0" shrinkToFit="false"/>
      <protection locked="true" hidden="false"/>
    </xf>
    <xf numFmtId="164" fontId="4" fillId="0" borderId="0" xfId="25" applyFont="true" applyBorder="false" applyAlignment="false" applyProtection="false">
      <alignment horizontal="general" vertical="bottom" textRotation="0" wrapText="false" indent="0" shrinkToFit="false"/>
      <protection locked="true" hidden="false"/>
    </xf>
    <xf numFmtId="164" fontId="4" fillId="0" borderId="0" xfId="25" applyFont="true" applyBorder="true" applyAlignment="false" applyProtection="false">
      <alignment horizontal="general" vertical="bottom" textRotation="0" wrapText="false" indent="0" shrinkToFit="false"/>
      <protection locked="true" hidden="false"/>
    </xf>
    <xf numFmtId="166" fontId="4" fillId="0" borderId="0" xfId="25" applyFont="false" applyBorder="true" applyAlignment="true" applyProtection="false">
      <alignment horizontal="center" vertical="bottom" textRotation="0" wrapText="false" indent="0" shrinkToFit="false"/>
      <protection locked="true" hidden="false"/>
    </xf>
    <xf numFmtId="166" fontId="4" fillId="0" borderId="1" xfId="25" applyFont="false" applyBorder="true" applyAlignment="false" applyProtection="false">
      <alignment horizontal="general" vertical="bottom" textRotation="0" wrapText="false" indent="0" shrinkToFit="false"/>
      <protection locked="true" hidden="false"/>
    </xf>
    <xf numFmtId="166" fontId="4" fillId="0" borderId="0" xfId="25" applyFont="false" applyBorder="true" applyAlignment="false" applyProtection="false">
      <alignment horizontal="general" vertical="bottom" textRotation="0" wrapText="false" indent="0" shrinkToFit="false"/>
      <protection locked="true" hidden="false"/>
    </xf>
    <xf numFmtId="164" fontId="65" fillId="0" borderId="0" xfId="25" applyFont="true" applyBorder="true" applyAlignment="true" applyProtection="false">
      <alignment horizontal="center" vertical="bottom" textRotation="0" wrapText="false" indent="0" shrinkToFit="false"/>
      <protection locked="true" hidden="false"/>
    </xf>
    <xf numFmtId="166" fontId="4" fillId="0" borderId="0" xfId="25" applyFont="true" applyBorder="true" applyAlignment="true" applyProtection="false">
      <alignment horizontal="center" vertical="bottom" textRotation="0" wrapText="false" indent="0" shrinkToFit="false"/>
      <protection locked="true" hidden="false"/>
    </xf>
    <xf numFmtId="164" fontId="65" fillId="0" borderId="0" xfId="25" applyFont="true" applyBorder="true" applyAlignment="true" applyProtection="false">
      <alignment horizontal="left" vertical="bottom" textRotation="0" wrapText="false" indent="0" shrinkToFit="false"/>
      <protection locked="true" hidden="false"/>
    </xf>
    <xf numFmtId="164" fontId="5" fillId="0" borderId="0" xfId="25" applyFont="true" applyBorder="true" applyAlignment="true" applyProtection="false">
      <alignment horizontal="center" vertical="bottom" textRotation="0" wrapText="false" indent="0" shrinkToFit="false"/>
      <protection locked="true" hidden="false"/>
    </xf>
    <xf numFmtId="164" fontId="4" fillId="0" borderId="0" xfId="25" applyFont="true" applyBorder="true" applyAlignment="true" applyProtection="false">
      <alignment horizontal="center" vertical="bottom" textRotation="0" wrapText="false" indent="0" shrinkToFit="false"/>
      <protection locked="true" hidden="false"/>
    </xf>
    <xf numFmtId="164" fontId="4" fillId="0" borderId="0" xfId="25" applyFont="false" applyBorder="true" applyAlignment="true" applyProtection="false">
      <alignment horizontal="general" vertical="bottom" textRotation="0" wrapText="false" indent="0" shrinkToFit="false"/>
      <protection locked="true" hidden="false"/>
    </xf>
    <xf numFmtId="164" fontId="4" fillId="0" borderId="0" xfId="25" applyFont="true" applyBorder="false" applyAlignment="true" applyProtection="false">
      <alignment horizontal="right" vertical="bottom" textRotation="0" wrapText="false" indent="0" shrinkToFit="false"/>
      <protection locked="true" hidden="false"/>
    </xf>
    <xf numFmtId="164" fontId="4" fillId="0" borderId="0" xfId="25" applyFont="true" applyBorder="true" applyAlignment="true" applyProtection="false">
      <alignment horizontal="right" vertical="bottom" textRotation="0" wrapText="false" indent="0" shrinkToFit="false"/>
      <protection locked="true" hidden="false"/>
    </xf>
    <xf numFmtId="166" fontId="4" fillId="0" borderId="0" xfId="25" applyFont="true" applyBorder="true" applyAlignment="true" applyProtection="false">
      <alignment horizontal="left" vertical="bottom" textRotation="0" wrapText="false" indent="0" shrinkToFit="false"/>
      <protection locked="true" hidden="false"/>
    </xf>
    <xf numFmtId="166" fontId="65" fillId="0" borderId="0" xfId="25" applyFont="true" applyBorder="tru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center" vertical="bottom" textRotation="0" wrapText="false" indent="0" shrinkToFit="false"/>
      <protection locked="true" hidden="false"/>
    </xf>
    <xf numFmtId="164" fontId="4" fillId="0" borderId="0" xfId="25" applyFont="false" applyBorder="false" applyAlignment="true" applyProtection="false">
      <alignment horizontal="center" vertical="bottom" textRotation="0" wrapText="false" indent="0" shrinkToFit="false"/>
      <protection locked="true" hidden="false"/>
    </xf>
    <xf numFmtId="164" fontId="35" fillId="0" borderId="0" xfId="0" applyFont="true" applyBorder="false" applyAlignment="true" applyProtection="true">
      <alignment horizontal="left" vertical="bottom" textRotation="0" wrapText="false" indent="0" shrinkToFit="false"/>
      <protection locked="false" hidden="false"/>
    </xf>
    <xf numFmtId="164" fontId="35" fillId="0" borderId="31" xfId="0" applyFont="true" applyBorder="true" applyAlignment="true" applyProtection="false">
      <alignment horizontal="center" vertical="bottom" textRotation="0" wrapText="false" indent="0" shrinkToFit="false"/>
      <protection locked="true" hidden="false"/>
    </xf>
    <xf numFmtId="164" fontId="35" fillId="0" borderId="36" xfId="0" applyFont="true" applyBorder="true" applyAlignment="true" applyProtection="false">
      <alignment horizontal="center" vertical="bottom" textRotation="0" wrapText="false" indent="0" shrinkToFit="false"/>
      <protection locked="true" hidden="false"/>
    </xf>
    <xf numFmtId="164" fontId="35" fillId="0" borderId="33" xfId="0" applyFont="true" applyBorder="true" applyAlignment="true" applyProtection="false">
      <alignment horizontal="center" vertical="bottom" textRotation="0" wrapText="false" indent="0" shrinkToFit="false"/>
      <protection locked="true" hidden="false"/>
    </xf>
    <xf numFmtId="164" fontId="35" fillId="0" borderId="34" xfId="0" applyFont="true" applyBorder="true" applyAlignment="true" applyProtection="false">
      <alignment horizontal="center"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false" hidden="false"/>
    </xf>
    <xf numFmtId="167" fontId="0" fillId="0" borderId="34" xfId="0" applyFont="false" applyBorder="true" applyAlignment="true" applyProtection="true">
      <alignment horizontal="center" vertical="bottom" textRotation="0" wrapText="false" indent="0" shrinkToFit="false"/>
      <protection locked="false" hidden="false"/>
    </xf>
    <xf numFmtId="164" fontId="0" fillId="0" borderId="37" xfId="0" applyFont="false" applyBorder="true" applyAlignment="true" applyProtection="true">
      <alignment horizontal="center" vertical="bottom" textRotation="0" wrapText="false" indent="0" shrinkToFit="false"/>
      <protection locked="false" hidden="false"/>
    </xf>
    <xf numFmtId="164" fontId="0" fillId="0" borderId="38" xfId="0" applyFont="false" applyBorder="true" applyAlignment="true" applyProtection="true">
      <alignment horizontal="center" vertical="bottom" textRotation="0" wrapText="false" indent="0" shrinkToFit="false"/>
      <protection locked="false" hidden="false"/>
    </xf>
    <xf numFmtId="164" fontId="65" fillId="0" borderId="0" xfId="25" applyFont="true" applyBorder="false" applyAlignment="true" applyProtection="false">
      <alignment horizontal="center" vertical="bottom" textRotation="0" wrapText="false" indent="0" shrinkToFit="false"/>
      <protection locked="true" hidden="false"/>
    </xf>
    <xf numFmtId="164" fontId="65" fillId="9" borderId="0" xfId="25" applyFont="true" applyBorder="false" applyAlignment="false" applyProtection="false">
      <alignment horizontal="general" vertical="bottom"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ENTER VALUE" xfId="21"/>
    <cellStyle name="ENTER VALUE 2" xfId="22"/>
    <cellStyle name="ENTER VALUE 3" xfId="23"/>
    <cellStyle name="ENTER VALUE 4" xfId="24"/>
    <cellStyle name="Normal 2" xfId="25"/>
    <cellStyle name="Normal 3" xfId="26"/>
    <cellStyle name="Style 1" xfId="27"/>
    <cellStyle name="Style 2" xfId="28"/>
    <cellStyle name="UNIT" xfId="29"/>
    <cellStyle name="*unknown*" xfId="20" builtinId="8"/>
  </cellStyles>
  <dxfs count="27">
    <dxf>
      <font>
        <color rgb="FFFFFFFF"/>
      </font>
      <fill>
        <patternFill>
          <bgColor rgb="FFFFFFFF"/>
        </patternFill>
      </fill>
      <border diagonalUp="false" diagonalDown="false">
        <left/>
        <right/>
        <top style="thin"/>
        <bottom/>
        <diagonal/>
      </border>
    </dxf>
    <dxf>
      <fill>
        <patternFill>
          <bgColor rgb="FFFF0000"/>
        </patternFill>
      </fill>
    </dxf>
    <dxf>
      <font>
        <color rgb="FFFFFFFF"/>
      </font>
    </dxf>
    <dxf>
      <fill>
        <patternFill>
          <bgColor rgb="FFFF0000"/>
        </patternFill>
      </fill>
    </dxf>
    <dxf>
      <fill>
        <patternFill>
          <bgColor rgb="FF953735"/>
        </patternFill>
      </fill>
    </dxf>
    <dxf>
      <fill>
        <patternFill>
          <bgColor rgb="FFFF0000"/>
        </patternFill>
      </fill>
    </dxf>
    <dxf>
      <fill>
        <patternFill>
          <bgColor rgb="FFFF0000"/>
        </patternFill>
      </fill>
    </dxf>
    <dxf>
      <fill>
        <patternFill>
          <bgColor rgb="FFFF0000"/>
        </patternFill>
      </fill>
    </dxf>
    <dxf>
      <fill>
        <patternFill>
          <bgColor rgb="FFFFFF00"/>
        </patternFill>
      </fill>
    </dxf>
    <dxf>
      <font>
        <color rgb="FFFFFFFF"/>
      </font>
      <fill>
        <patternFill>
          <bgColor rgb="FFFFFFFF"/>
        </patternFill>
      </fill>
      <border diagonalUp="false" diagonalDown="false">
        <left/>
        <right/>
        <top/>
        <bottom/>
        <diagonal/>
      </border>
    </dxf>
    <dxf>
      <font>
        <strike val="1"/>
        <color rgb="FFBFBFBF"/>
      </font>
      <fill>
        <patternFill>
          <bgColor rgb="FFFFFFFF"/>
        </patternFill>
      </fill>
    </dxf>
    <dxf>
      <font>
        <strike val="0"/>
        <color rgb="FFFFFFFF"/>
      </font>
      <fill>
        <patternFill>
          <bgColor rgb="FFFFFFFF"/>
        </patternFill>
      </fill>
    </dxf>
    <dxf>
      <font>
        <color rgb="FFFFFFFF"/>
      </font>
      <fill>
        <patternFill>
          <bgColor rgb="FFFFFFFF"/>
        </patternFill>
      </fill>
    </dxf>
    <dxf>
      <fill>
        <patternFill>
          <bgColor rgb="FFFF0000"/>
        </patternFill>
      </fill>
    </dxf>
    <dxf>
      <fill>
        <patternFill>
          <bgColor rgb="FFFFFF00"/>
        </patternFill>
      </fill>
    </dxf>
    <dxf>
      <fill>
        <patternFill>
          <bgColor rgb="FFFF0000"/>
        </patternFill>
      </fill>
    </dxf>
    <dxf>
      <fill>
        <patternFill>
          <bgColor rgb="FFFF0000"/>
        </patternFill>
      </fill>
    </dxf>
    <dxf>
      <font>
        <color rgb="FFFFFFFF"/>
      </font>
      <fill>
        <patternFill>
          <bgColor rgb="FFFFFFFF"/>
        </patternFill>
      </fill>
      <border diagonalUp="false" diagonalDown="false">
        <left/>
        <right/>
        <top/>
        <bottom/>
        <diagonal/>
      </border>
    </dxf>
    <dxf>
      <font>
        <color rgb="FFFFFFFF"/>
      </font>
      <fill>
        <patternFill>
          <bgColor rgb="FFFFFFFF"/>
        </patternFill>
      </fill>
    </dxf>
    <dxf>
      <fill>
        <patternFill>
          <bgColor rgb="FFFF0000"/>
        </patternFill>
      </fill>
    </dxf>
    <dxf>
      <font>
        <color rgb="FFFFFFFF"/>
      </font>
      <fill>
        <patternFill>
          <bgColor rgb="FFFFFFFF"/>
        </patternFill>
      </fill>
    </dxf>
    <dxf>
      <font>
        <color rgb="FFFFFFFF"/>
      </font>
      <fill>
        <patternFill>
          <bgColor rgb="FFFFFFFF"/>
        </patternFill>
      </fill>
    </dxf>
    <dxf>
      <font>
        <color rgb="FFFFFFFF"/>
      </font>
      <fill>
        <patternFill>
          <bgColor rgb="FFFFFFFF"/>
        </patternFill>
      </fill>
    </dxf>
    <dxf>
      <font>
        <color rgb="FFFFFFFF"/>
      </font>
      <fill>
        <patternFill>
          <bgColor rgb="FFFFFFFF"/>
        </patternFill>
      </fill>
    </dxf>
    <dxf>
      <font>
        <color rgb="FFFFFFFF"/>
      </font>
      <fill>
        <patternFill>
          <bgColor rgb="FFFFFFFF"/>
        </patternFill>
      </fill>
    </dxf>
    <dxf>
      <font>
        <color rgb="FFFFFFFF"/>
      </font>
      <fill>
        <patternFill>
          <bgColor rgb="FFFFFFFF"/>
        </patternFill>
      </fill>
    </dxf>
    <dxf>
      <font>
        <color rgb="FFFFFFFF"/>
      </font>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878787"/>
      <rgbColor rgb="FF953735"/>
      <rgbColor rgb="FFFFFFCC"/>
      <rgbColor rgb="FFCCFFFF"/>
      <rgbColor rgb="FF660066"/>
      <rgbColor rgb="FFD99694"/>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B7B7B7"/>
      <rgbColor rgb="FFFF99CC"/>
      <rgbColor rgb="FFCC99FF"/>
      <rgbColor rgb="FFC3D69B"/>
      <rgbColor rgb="FF4A7EBB"/>
      <rgbColor rgb="FF33CCCC"/>
      <rgbColor rgb="FF99CC00"/>
      <rgbColor rgb="FFFFCC00"/>
      <rgbColor rgb="FFFF9900"/>
      <rgbColor rgb="FFFF6600"/>
      <rgbColor rgb="FF8064A2"/>
      <rgbColor rgb="FF969696"/>
      <rgbColor rgb="FF003366"/>
      <rgbColor rgb="FF339966"/>
      <rgbColor rgb="FF003300"/>
      <rgbColor rgb="FF333300"/>
      <rgbColor rgb="FF993300"/>
      <rgbColor rgb="FFBE4B48"/>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externalLink" Target="externalLinks/externalLink2.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26772380233241"/>
          <c:y val="0.1061473844979"/>
          <c:w val="0.831277791761054"/>
          <c:h val="0.768868524882271"/>
        </c:manualLayout>
      </c:layout>
      <c:scatterChart>
        <c:scatterStyle val="line"/>
        <c:varyColors val="0"/>
        <c:ser>
          <c:idx val="0"/>
          <c:order val="0"/>
          <c:tx>
            <c:strRef>
              <c:f>"Temp Derated FET SOA (t = Tfault)"</c:f>
              <c:strCache>
                <c:ptCount val="1"/>
                <c:pt idx="0">
                  <c:v>Temp Derated FET SOA (t = Tfault)</c:v>
                </c:pt>
              </c:strCache>
            </c:strRef>
          </c:tx>
          <c:spPr>
            <a:solidFill>
              <a:srgbClr val="008000"/>
            </a:solidFill>
            <a:ln w="25560">
              <a:solidFill>
                <a:srgbClr val="008000"/>
              </a:solidFill>
              <a:round/>
            </a:ln>
          </c:spPr>
          <c:marker>
            <c:symbol val="none"/>
          </c:marker>
          <c:dLbls>
            <c:txPr>
              <a:bodyPr/>
              <a:lstStyle/>
              <a:p>
                <a:pPr>
                  <a:defRPr b="0" sz="950" spc="-1" strike="noStrike">
                    <a:solidFill>
                      <a:srgbClr val="000000"/>
                    </a:solidFill>
                    <a:latin typeface="Arial"/>
                    <a:ea typeface="Arial"/>
                  </a:defRPr>
                </a:pPr>
              </a:p>
            </c:txPr>
            <c:dLblPos val="r"/>
            <c:showLegendKey val="0"/>
            <c:showVal val="0"/>
            <c:showCatName val="0"/>
            <c:showSerName val="0"/>
            <c:showPercent val="0"/>
            <c:separator>; </c:separator>
            <c:showLeaderLines val="0"/>
          </c:dLbls>
          <c:xVal>
            <c:numRef>
              <c:f>Equations!$R$146:$R$162</c:f>
              <c:numCache>
                <c:formatCode>General</c:formatCode>
                <c:ptCount val="17"/>
                <c:pt idx="0">
                  <c:v>0.416666666666667</c:v>
                </c:pt>
                <c:pt idx="1">
                  <c:v>4.16666666666667</c:v>
                </c:pt>
                <c:pt idx="2">
                  <c:v>8.33333333333333</c:v>
                </c:pt>
                <c:pt idx="3">
                  <c:v>12.5</c:v>
                </c:pt>
                <c:pt idx="4">
                  <c:v>16.6666666666667</c:v>
                </c:pt>
                <c:pt idx="5">
                  <c:v>20.8333333333333</c:v>
                </c:pt>
                <c:pt idx="6">
                  <c:v>25</c:v>
                </c:pt>
                <c:pt idx="7">
                  <c:v>29.1666666666667</c:v>
                </c:pt>
                <c:pt idx="8">
                  <c:v>33.3333333333333</c:v>
                </c:pt>
                <c:pt idx="9">
                  <c:v>37.5</c:v>
                </c:pt>
                <c:pt idx="10">
                  <c:v>41.6666666666667</c:v>
                </c:pt>
                <c:pt idx="11">
                  <c:v>45.8333333333333</c:v>
                </c:pt>
                <c:pt idx="12">
                  <c:v>50</c:v>
                </c:pt>
                <c:pt idx="13">
                  <c:v>54.1666666666667</c:v>
                </c:pt>
                <c:pt idx="14">
                  <c:v>58.3333333333333</c:v>
                </c:pt>
                <c:pt idx="15">
                  <c:v>62.5</c:v>
                </c:pt>
                <c:pt idx="16">
                  <c:v>66.6666666666667</c:v>
                </c:pt>
              </c:numCache>
            </c:numRef>
          </c:xVal>
          <c:yVal>
            <c:numRef>
              <c:f>Equations!$V$146:$V$162</c:f>
              <c:numCache>
                <c:formatCode>General</c:formatCode>
                <c:ptCount val="17"/>
                <c:pt idx="0">
                  <c:v>1857.97513833902</c:v>
                </c:pt>
                <c:pt idx="1">
                  <c:v>185.797513833902</c:v>
                </c:pt>
                <c:pt idx="2">
                  <c:v>92.8987569169512</c:v>
                </c:pt>
                <c:pt idx="3">
                  <c:v>61.9325046113008</c:v>
                </c:pt>
                <c:pt idx="4">
                  <c:v>46.4493784584755</c:v>
                </c:pt>
                <c:pt idx="5">
                  <c:v>37.1595027667805</c:v>
                </c:pt>
                <c:pt idx="6">
                  <c:v>30.9662523056504</c:v>
                </c:pt>
                <c:pt idx="7">
                  <c:v>26.5425019762717</c:v>
                </c:pt>
                <c:pt idx="8">
                  <c:v>23.2246892292378</c:v>
                </c:pt>
                <c:pt idx="9">
                  <c:v>20.6441682037669</c:v>
                </c:pt>
                <c:pt idx="10">
                  <c:v>18.5797513833902</c:v>
                </c:pt>
                <c:pt idx="11">
                  <c:v>16.8906830758093</c:v>
                </c:pt>
                <c:pt idx="12">
                  <c:v>15.4831261528252</c:v>
                </c:pt>
                <c:pt idx="13">
                  <c:v>14.2921164487617</c:v>
                </c:pt>
                <c:pt idx="14">
                  <c:v>13.2712509881359</c:v>
                </c:pt>
                <c:pt idx="15">
                  <c:v>12.3865009222602</c:v>
                </c:pt>
                <c:pt idx="16">
                  <c:v>11.6123446146189</c:v>
                </c:pt>
              </c:numCache>
            </c:numRef>
          </c:yVal>
          <c:smooth val="0"/>
        </c:ser>
        <c:ser>
          <c:idx val="1"/>
          <c:order val="1"/>
          <c:tx>
            <c:strRef>
              <c:f>"Typ Device SOA Limit"</c:f>
              <c:strCache>
                <c:ptCount val="1"/>
                <c:pt idx="0">
                  <c:v>Typ Device SOA Limit</c:v>
                </c:pt>
              </c:strCache>
            </c:strRef>
          </c:tx>
          <c:spPr>
            <a:solidFill>
              <a:srgbClr val="ff0000"/>
            </a:solidFill>
            <a:ln w="25560">
              <a:solidFill>
                <a:srgbClr val="ff0000"/>
              </a:solidFill>
              <a:round/>
            </a:ln>
          </c:spPr>
          <c:marker>
            <c:symbol val="none"/>
          </c:marker>
          <c:dLbls>
            <c:txPr>
              <a:bodyPr/>
              <a:lstStyle/>
              <a:p>
                <a:pPr>
                  <a:defRPr b="0" sz="950" spc="-1" strike="noStrike">
                    <a:solidFill>
                      <a:srgbClr val="000000"/>
                    </a:solidFill>
                    <a:latin typeface="Arial"/>
                    <a:ea typeface="Arial"/>
                  </a:defRPr>
                </a:pPr>
              </a:p>
            </c:txPr>
            <c:dLblPos val="r"/>
            <c:showLegendKey val="0"/>
            <c:showVal val="0"/>
            <c:showCatName val="0"/>
            <c:showSerName val="0"/>
            <c:showPercent val="0"/>
            <c:separator>; </c:separator>
            <c:showLeaderLines val="0"/>
          </c:dLbls>
          <c:xVal>
            <c:numRef>
              <c:f>Equations!$R$146:$R$165</c:f>
              <c:numCache>
                <c:formatCode>General</c:formatCode>
                <c:ptCount val="20"/>
                <c:pt idx="0">
                  <c:v>0.416666666666667</c:v>
                </c:pt>
                <c:pt idx="1">
                  <c:v>4.16666666666667</c:v>
                </c:pt>
                <c:pt idx="2">
                  <c:v>8.33333333333333</c:v>
                </c:pt>
                <c:pt idx="3">
                  <c:v>12.5</c:v>
                </c:pt>
                <c:pt idx="4">
                  <c:v>16.6666666666667</c:v>
                </c:pt>
                <c:pt idx="5">
                  <c:v>20.8333333333333</c:v>
                </c:pt>
                <c:pt idx="6">
                  <c:v>25</c:v>
                </c:pt>
                <c:pt idx="7">
                  <c:v>29.1666666666667</c:v>
                </c:pt>
                <c:pt idx="8">
                  <c:v>33.3333333333333</c:v>
                </c:pt>
                <c:pt idx="9">
                  <c:v>37.5</c:v>
                </c:pt>
                <c:pt idx="10">
                  <c:v>41.6666666666667</c:v>
                </c:pt>
                <c:pt idx="11">
                  <c:v>45.8333333333333</c:v>
                </c:pt>
                <c:pt idx="12">
                  <c:v>50</c:v>
                </c:pt>
                <c:pt idx="13">
                  <c:v>54.1666666666667</c:v>
                </c:pt>
                <c:pt idx="14">
                  <c:v>58.3333333333333</c:v>
                </c:pt>
                <c:pt idx="15">
                  <c:v>62.5</c:v>
                </c:pt>
                <c:pt idx="16">
                  <c:v>66.6666666666667</c:v>
                </c:pt>
              </c:numCache>
            </c:numRef>
          </c:xVal>
          <c:yVal>
            <c:numRef>
              <c:f>Equations!$T$146:$T$165</c:f>
              <c:numCache>
                <c:formatCode>General</c:formatCode>
                <c:ptCount val="20"/>
                <c:pt idx="0">
                  <c:v>100</c:v>
                </c:pt>
                <c:pt idx="1">
                  <c:v>100</c:v>
                </c:pt>
                <c:pt idx="2">
                  <c:v>60.6691449814127</c:v>
                </c:pt>
                <c:pt idx="3">
                  <c:v>40.4460966542751</c:v>
                </c:pt>
                <c:pt idx="4">
                  <c:v>30.3345724907063</c:v>
                </c:pt>
                <c:pt idx="5">
                  <c:v>24.2676579925651</c:v>
                </c:pt>
                <c:pt idx="6">
                  <c:v>20.2230483271375</c:v>
                </c:pt>
                <c:pt idx="7">
                  <c:v>17.3340414232607</c:v>
                </c:pt>
                <c:pt idx="8">
                  <c:v>15.1672862453532</c:v>
                </c:pt>
                <c:pt idx="9">
                  <c:v>13.4820322180917</c:v>
                </c:pt>
                <c:pt idx="10">
                  <c:v>12.1338289962825</c:v>
                </c:pt>
                <c:pt idx="11">
                  <c:v>11.0307536329841</c:v>
                </c:pt>
                <c:pt idx="12">
                  <c:v>10.1115241635688</c:v>
                </c:pt>
                <c:pt idx="13">
                  <c:v>5E-010</c:v>
                </c:pt>
                <c:pt idx="14">
                  <c:v>5E-010</c:v>
                </c:pt>
                <c:pt idx="15">
                  <c:v>5E-010</c:v>
                </c:pt>
                <c:pt idx="16">
                  <c:v>5E-010</c:v>
                </c:pt>
                <c:pt idx="17">
                  <c:v>0</c:v>
                </c:pt>
                <c:pt idx="18">
                  <c:v>0</c:v>
                </c:pt>
                <c:pt idx="19">
                  <c:v>0</c:v>
                </c:pt>
              </c:numCache>
            </c:numRef>
          </c:yVal>
          <c:smooth val="0"/>
        </c:ser>
        <c:axId val="40812846"/>
        <c:axId val="1766369"/>
      </c:scatterChart>
      <c:valAx>
        <c:axId val="40812846"/>
        <c:scaling>
          <c:logBase val="10"/>
          <c:orientation val="minMax"/>
          <c:max val="100"/>
          <c:min val="1"/>
        </c:scaling>
        <c:delete val="0"/>
        <c:axPos val="b"/>
        <c:majorGridlines>
          <c:spPr>
            <a:ln w="3240">
              <a:solidFill>
                <a:srgbClr val="000000"/>
              </a:solidFill>
              <a:round/>
            </a:ln>
          </c:spPr>
        </c:majorGridlines>
        <c:minorGridlines>
          <c:spPr>
            <a:ln w="3240">
              <a:solidFill>
                <a:srgbClr val="000000"/>
              </a:solidFill>
              <a:round/>
            </a:ln>
          </c:spPr>
        </c:minorGridlines>
        <c:title>
          <c:tx>
            <c:rich>
              <a:bodyPr rot="0"/>
              <a:lstStyle/>
              <a:p>
                <a:pPr>
                  <a:defRPr b="1" lang="en-US" sz="900" spc="-1" strike="noStrike">
                    <a:solidFill>
                      <a:srgbClr val="000000"/>
                    </a:solidFill>
                    <a:latin typeface="Arial"/>
                    <a:ea typeface="Calibri"/>
                  </a:defRPr>
                </a:pPr>
                <a:r>
                  <a:rPr b="1" lang="en-US" sz="900" spc="-1" strike="noStrike">
                    <a:solidFill>
                      <a:srgbClr val="000000"/>
                    </a:solidFill>
                    <a:latin typeface="Arial"/>
                    <a:ea typeface="Calibri"/>
                  </a:rPr>
                  <a:t>VDS - Drain-to-Source Voltage - V</a:t>
                </a:r>
              </a:p>
            </c:rich>
          </c:tx>
          <c:layout>
            <c:manualLayout>
              <c:xMode val="edge"/>
              <c:yMode val="edge"/>
              <c:x val="0.374444164778924"/>
              <c:y val="0.939926180476009"/>
            </c:manualLayout>
          </c:layout>
          <c:overlay val="0"/>
          <c:spPr>
            <a:noFill/>
            <a:ln w="25560">
              <a:noFill/>
            </a:ln>
          </c:spPr>
        </c:title>
        <c:numFmt formatCode="General" sourceLinked="0"/>
        <c:majorTickMark val="none"/>
        <c:minorTickMark val="none"/>
        <c:tickLblPos val="nextTo"/>
        <c:spPr>
          <a:ln w="3240">
            <a:solidFill>
              <a:srgbClr val="000000"/>
            </a:solidFill>
            <a:round/>
          </a:ln>
        </c:spPr>
        <c:txPr>
          <a:bodyPr/>
          <a:lstStyle/>
          <a:p>
            <a:pPr>
              <a:defRPr b="0" sz="900" spc="-1" strike="noStrike">
                <a:solidFill>
                  <a:srgbClr val="000000"/>
                </a:solidFill>
                <a:latin typeface="Arial"/>
                <a:ea typeface="Arial"/>
              </a:defRPr>
            </a:pPr>
          </a:p>
        </c:txPr>
        <c:crossAx val="1766369"/>
        <c:crossesAt val="0.1"/>
        <c:crossBetween val="midCat"/>
      </c:valAx>
      <c:valAx>
        <c:axId val="1766369"/>
        <c:scaling>
          <c:logBase val="10"/>
          <c:orientation val="minMax"/>
          <c:max val="100"/>
          <c:min val="0.1"/>
        </c:scaling>
        <c:delete val="0"/>
        <c:axPos val="l"/>
        <c:majorGridlines>
          <c:spPr>
            <a:ln w="3240">
              <a:solidFill>
                <a:srgbClr val="000000"/>
              </a:solidFill>
              <a:round/>
            </a:ln>
          </c:spPr>
        </c:majorGridlines>
        <c:minorGridlines>
          <c:spPr>
            <a:ln w="3240">
              <a:solidFill>
                <a:srgbClr val="000000"/>
              </a:solidFill>
              <a:round/>
            </a:ln>
          </c:spPr>
        </c:minorGridlines>
        <c:title>
          <c:tx>
            <c:rich>
              <a:bodyPr rot="-5400000"/>
              <a:lstStyle/>
              <a:p>
                <a:pPr>
                  <a:defRPr b="1" lang="en-US" sz="900" spc="-1" strike="noStrike">
                    <a:solidFill>
                      <a:srgbClr val="000000"/>
                    </a:solidFill>
                    <a:latin typeface="Arial"/>
                    <a:ea typeface="Calibri"/>
                  </a:defRPr>
                </a:pPr>
                <a:r>
                  <a:rPr b="1" lang="en-US" sz="900" spc="-1" strike="noStrike">
                    <a:solidFill>
                      <a:srgbClr val="000000"/>
                    </a:solidFill>
                    <a:latin typeface="Arial"/>
                    <a:ea typeface="Calibri"/>
                  </a:rPr>
                  <a:t>IDS - Drain-to-Source Current - A</a:t>
                </a:r>
              </a:p>
            </c:rich>
          </c:tx>
          <c:layout>
            <c:manualLayout>
              <c:xMode val="edge"/>
              <c:yMode val="edge"/>
              <c:x val="0.0198842184747043"/>
              <c:y val="0.21433116965763"/>
            </c:manualLayout>
          </c:layout>
          <c:overlay val="0"/>
          <c:spPr>
            <a:noFill/>
            <a:ln w="25560">
              <a:noFill/>
            </a:ln>
          </c:spPr>
        </c:title>
        <c:numFmt formatCode="General" sourceLinked="0"/>
        <c:majorTickMark val="none"/>
        <c:minorTickMark val="none"/>
        <c:tickLblPos val="nextTo"/>
        <c:spPr>
          <a:ln w="3240">
            <a:solidFill>
              <a:srgbClr val="000000"/>
            </a:solidFill>
            <a:round/>
          </a:ln>
        </c:spPr>
        <c:txPr>
          <a:bodyPr/>
          <a:lstStyle/>
          <a:p>
            <a:pPr>
              <a:defRPr b="0" sz="900" spc="-1" strike="noStrike">
                <a:solidFill>
                  <a:srgbClr val="000000"/>
                </a:solidFill>
                <a:latin typeface="Arial"/>
                <a:ea typeface="Arial"/>
              </a:defRPr>
            </a:pPr>
          </a:p>
        </c:txPr>
        <c:crossAx val="40812846"/>
        <c:crosses val="autoZero"/>
        <c:crossBetween val="midCat"/>
      </c:valAx>
      <c:spPr>
        <a:solidFill>
          <a:srgbClr val="ffffff"/>
        </a:solidFill>
        <a:ln w="12600">
          <a:solidFill>
            <a:srgbClr val="808080"/>
          </a:solidFill>
          <a:round/>
        </a:ln>
      </c:spPr>
    </c:plotArea>
    <c:legend>
      <c:legendPos val="r"/>
      <c:layout>
        <c:manualLayout>
          <c:xMode val="edge"/>
          <c:yMode val="edge"/>
          <c:x val="0.50994825783805"/>
          <c:y val="0.0242820239900831"/>
          <c:w val="0.471458131527712"/>
          <c:h val="0.187944751324269"/>
        </c:manualLayout>
      </c:layout>
      <c:overlay val="0"/>
      <c:spPr>
        <a:solidFill>
          <a:srgbClr val="ffffff"/>
        </a:solidFill>
        <a:ln w="3240">
          <a:solidFill>
            <a:srgbClr val="000000"/>
          </a:solidFill>
          <a:round/>
        </a:ln>
      </c:spPr>
      <c:txPr>
        <a:bodyPr/>
        <a:lstStyle/>
        <a:p>
          <a:pPr>
            <a:defRPr b="0" sz="800" spc="-1" strike="noStrike">
              <a:solidFill>
                <a:srgbClr val="000000"/>
              </a:solidFill>
              <a:latin typeface="Arial"/>
              <a:ea typeface="Arial"/>
            </a:defRPr>
          </a:pPr>
        </a:p>
      </c:txPr>
    </c:legend>
    <c:plotVisOnly val="0"/>
    <c:dispBlanksAs val="gap"/>
  </c:chart>
  <c:spPr>
    <a:solidFill>
      <a:srgbClr val="ffffff"/>
    </a:solidFill>
    <a:ln w="12600">
      <a:solidFill>
        <a:srgbClr val="000000"/>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600" spc="-1" strike="noStrike">
                <a:solidFill>
                  <a:srgbClr val="000000"/>
                </a:solidFill>
                <a:latin typeface="Calibri"/>
              </a:defRPr>
            </a:pPr>
            <a:r>
              <a:rPr b="1" lang="en-US" sz="1600" spc="-1" strike="noStrike">
                <a:solidFill>
                  <a:srgbClr val="000000"/>
                </a:solidFill>
                <a:latin typeface="Calibri"/>
              </a:rPr>
              <a:t>ILOAD and IFET vs Vout (VIN = VINMAX)                                               </a:t>
            </a:r>
          </a:p>
        </c:rich>
      </c:tx>
      <c:layout>
        <c:manualLayout>
          <c:xMode val="edge"/>
          <c:yMode val="edge"/>
          <c:x val="0.164930114358323"/>
          <c:y val="0.0306309052118257"/>
        </c:manualLayout>
      </c:layout>
      <c:overlay val="0"/>
      <c:spPr>
        <a:solidFill>
          <a:srgbClr val="ffffff"/>
        </a:solidFill>
        <a:ln>
          <a:noFill/>
        </a:ln>
      </c:spPr>
    </c:title>
    <c:autoTitleDeleted val="0"/>
    <c:plotArea>
      <c:layout>
        <c:manualLayout>
          <c:layoutTarget val="inner"/>
          <c:xMode val="edge"/>
          <c:yMode val="edge"/>
          <c:x val="0.152054214315968"/>
          <c:y val="0.138372447424566"/>
          <c:w val="0.76848792884371"/>
          <c:h val="0.701462968607132"/>
        </c:manualLayout>
      </c:layout>
      <c:scatterChart>
        <c:scatterStyle val="line"/>
        <c:varyColors val="0"/>
        <c:ser>
          <c:idx val="0"/>
          <c:order val="0"/>
          <c:tx>
            <c:strRef>
              <c:f>Start_up!$C$7</c:f>
              <c:strCache>
                <c:ptCount val="1"/>
                <c:pt idx="0">
                  <c:v>ILOAD</c:v>
                </c:pt>
              </c:strCache>
            </c:strRef>
          </c:tx>
          <c:spPr>
            <a:solidFill>
              <a:srgbClr val="4a7ebb"/>
            </a:solidFill>
            <a:ln w="28440">
              <a:solidFill>
                <a:srgbClr val="4a7ebb"/>
              </a:solidFill>
              <a:round/>
            </a:ln>
          </c:spPr>
          <c:marker>
            <c:symbol val="none"/>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xVal>
            <c:numRef>
              <c:f>Start_up!$B$10:$B$111</c:f>
              <c:numCache>
                <c:formatCode>General</c:formatCode>
                <c:ptCount val="102"/>
                <c:pt idx="0">
                  <c:v>0</c:v>
                </c:pt>
                <c:pt idx="1">
                  <c:v>0.480769230769231</c:v>
                </c:pt>
                <c:pt idx="2">
                  <c:v>0.961538461538462</c:v>
                </c:pt>
                <c:pt idx="3">
                  <c:v>1.44230769230769</c:v>
                </c:pt>
                <c:pt idx="4">
                  <c:v>1.92307692307692</c:v>
                </c:pt>
                <c:pt idx="5">
                  <c:v>2.40384615384615</c:v>
                </c:pt>
                <c:pt idx="6">
                  <c:v>2.88461538461538</c:v>
                </c:pt>
                <c:pt idx="7">
                  <c:v>3.36538461538462</c:v>
                </c:pt>
                <c:pt idx="8">
                  <c:v>3.84615384615385</c:v>
                </c:pt>
                <c:pt idx="9">
                  <c:v>4.32692307692308</c:v>
                </c:pt>
                <c:pt idx="10">
                  <c:v>4.80769230769231</c:v>
                </c:pt>
                <c:pt idx="11">
                  <c:v>5.28846153846154</c:v>
                </c:pt>
                <c:pt idx="12">
                  <c:v>5.76923076923077</c:v>
                </c:pt>
                <c:pt idx="13">
                  <c:v>6.25</c:v>
                </c:pt>
                <c:pt idx="14">
                  <c:v>6.73076923076923</c:v>
                </c:pt>
                <c:pt idx="15">
                  <c:v>7.21153846153846</c:v>
                </c:pt>
                <c:pt idx="16">
                  <c:v>7.69230769230769</c:v>
                </c:pt>
                <c:pt idx="17">
                  <c:v>8.17307692307692</c:v>
                </c:pt>
                <c:pt idx="18">
                  <c:v>8.65384615384615</c:v>
                </c:pt>
                <c:pt idx="19">
                  <c:v>9.13461538461538</c:v>
                </c:pt>
                <c:pt idx="20">
                  <c:v>9.61538461538462</c:v>
                </c:pt>
                <c:pt idx="21">
                  <c:v>10.0961538461538</c:v>
                </c:pt>
                <c:pt idx="22">
                  <c:v>10.5769230769231</c:v>
                </c:pt>
                <c:pt idx="23">
                  <c:v>11.0576923076923</c:v>
                </c:pt>
                <c:pt idx="24">
                  <c:v>11.5384615384615</c:v>
                </c:pt>
                <c:pt idx="25">
                  <c:v>12.0192307692308</c:v>
                </c:pt>
                <c:pt idx="26">
                  <c:v>12.5</c:v>
                </c:pt>
                <c:pt idx="27">
                  <c:v>12.9807692307692</c:v>
                </c:pt>
                <c:pt idx="28">
                  <c:v>13.4615384615385</c:v>
                </c:pt>
                <c:pt idx="29">
                  <c:v>13.9423076923077</c:v>
                </c:pt>
                <c:pt idx="30">
                  <c:v>14.4230769230769</c:v>
                </c:pt>
                <c:pt idx="31">
                  <c:v>14.9038461538462</c:v>
                </c:pt>
                <c:pt idx="32">
                  <c:v>15.3846153846154</c:v>
                </c:pt>
                <c:pt idx="33">
                  <c:v>15.8653846153846</c:v>
                </c:pt>
                <c:pt idx="34">
                  <c:v>16.3461538461538</c:v>
                </c:pt>
                <c:pt idx="35">
                  <c:v>16.8269230769231</c:v>
                </c:pt>
                <c:pt idx="36">
                  <c:v>17.3076923076923</c:v>
                </c:pt>
                <c:pt idx="37">
                  <c:v>17.7884615384615</c:v>
                </c:pt>
                <c:pt idx="38">
                  <c:v>18.2692307692308</c:v>
                </c:pt>
                <c:pt idx="39">
                  <c:v>18.75</c:v>
                </c:pt>
                <c:pt idx="40">
                  <c:v>19.2307692307692</c:v>
                </c:pt>
                <c:pt idx="41">
                  <c:v>19.7115384615385</c:v>
                </c:pt>
                <c:pt idx="42">
                  <c:v>20.1923076923077</c:v>
                </c:pt>
                <c:pt idx="43">
                  <c:v>20.6730769230769</c:v>
                </c:pt>
                <c:pt idx="44">
                  <c:v>21.1538461538462</c:v>
                </c:pt>
                <c:pt idx="45">
                  <c:v>21.6346153846154</c:v>
                </c:pt>
                <c:pt idx="46">
                  <c:v>22.1153846153846</c:v>
                </c:pt>
                <c:pt idx="47">
                  <c:v>22.5961538461538</c:v>
                </c:pt>
                <c:pt idx="48">
                  <c:v>23.0769230769231</c:v>
                </c:pt>
                <c:pt idx="49">
                  <c:v>23.5576923076923</c:v>
                </c:pt>
                <c:pt idx="50">
                  <c:v>24.0384615384615</c:v>
                </c:pt>
                <c:pt idx="51">
                  <c:v>24.5192307692308</c:v>
                </c:pt>
                <c:pt idx="52">
                  <c:v>25</c:v>
                </c:pt>
                <c:pt idx="53">
                  <c:v>25.4807692307692</c:v>
                </c:pt>
                <c:pt idx="54">
                  <c:v>25.9615384615385</c:v>
                </c:pt>
                <c:pt idx="55">
                  <c:v>26.4423076923077</c:v>
                </c:pt>
                <c:pt idx="56">
                  <c:v>26.9230769230769</c:v>
                </c:pt>
                <c:pt idx="57">
                  <c:v>27.4038461538462</c:v>
                </c:pt>
                <c:pt idx="58">
                  <c:v>27.8846153846154</c:v>
                </c:pt>
                <c:pt idx="59">
                  <c:v>28.3653846153846</c:v>
                </c:pt>
                <c:pt idx="60">
                  <c:v>28.8461538461538</c:v>
                </c:pt>
                <c:pt idx="61">
                  <c:v>29.3269230769231</c:v>
                </c:pt>
                <c:pt idx="62">
                  <c:v>29.8076923076923</c:v>
                </c:pt>
                <c:pt idx="63">
                  <c:v>30.2884615384615</c:v>
                </c:pt>
                <c:pt idx="64">
                  <c:v>30.7692307692308</c:v>
                </c:pt>
                <c:pt idx="65">
                  <c:v>31.25</c:v>
                </c:pt>
                <c:pt idx="66">
                  <c:v>31.7307692307692</c:v>
                </c:pt>
                <c:pt idx="67">
                  <c:v>32.2115384615385</c:v>
                </c:pt>
                <c:pt idx="68">
                  <c:v>32.6923076923077</c:v>
                </c:pt>
                <c:pt idx="69">
                  <c:v>33.1730769230769</c:v>
                </c:pt>
                <c:pt idx="70">
                  <c:v>33.6538461538462</c:v>
                </c:pt>
                <c:pt idx="71">
                  <c:v>34.1346153846154</c:v>
                </c:pt>
                <c:pt idx="72">
                  <c:v>34.6153846153846</c:v>
                </c:pt>
                <c:pt idx="73">
                  <c:v>35.0961538461538</c:v>
                </c:pt>
                <c:pt idx="74">
                  <c:v>35.5769230769231</c:v>
                </c:pt>
                <c:pt idx="75">
                  <c:v>36.0576923076923</c:v>
                </c:pt>
                <c:pt idx="76">
                  <c:v>36.5384615384615</c:v>
                </c:pt>
                <c:pt idx="77">
                  <c:v>37.0192307692308</c:v>
                </c:pt>
                <c:pt idx="78">
                  <c:v>37.5</c:v>
                </c:pt>
                <c:pt idx="79">
                  <c:v>37.9807692307692</c:v>
                </c:pt>
                <c:pt idx="80">
                  <c:v>38.4615384615385</c:v>
                </c:pt>
                <c:pt idx="81">
                  <c:v>38.9423076923077</c:v>
                </c:pt>
                <c:pt idx="82">
                  <c:v>39.4230769230769</c:v>
                </c:pt>
                <c:pt idx="83">
                  <c:v>39.9038461538462</c:v>
                </c:pt>
                <c:pt idx="84">
                  <c:v>40.3846153846154</c:v>
                </c:pt>
                <c:pt idx="85">
                  <c:v>40.8653846153846</c:v>
                </c:pt>
                <c:pt idx="86">
                  <c:v>41.3461538461539</c:v>
                </c:pt>
                <c:pt idx="87">
                  <c:v>41.8269230769231</c:v>
                </c:pt>
                <c:pt idx="88">
                  <c:v>42.3076923076923</c:v>
                </c:pt>
                <c:pt idx="89">
                  <c:v>42.7884615384615</c:v>
                </c:pt>
                <c:pt idx="90">
                  <c:v>43.2692307692308</c:v>
                </c:pt>
                <c:pt idx="91">
                  <c:v>43.75</c:v>
                </c:pt>
                <c:pt idx="92">
                  <c:v>44.2307692307692</c:v>
                </c:pt>
                <c:pt idx="93">
                  <c:v>44.7115384615385</c:v>
                </c:pt>
                <c:pt idx="94">
                  <c:v>45.1923076923077</c:v>
                </c:pt>
                <c:pt idx="95">
                  <c:v>45.6730769230769</c:v>
                </c:pt>
                <c:pt idx="96">
                  <c:v>46.1538461538462</c:v>
                </c:pt>
                <c:pt idx="97">
                  <c:v>46.6346153846154</c:v>
                </c:pt>
                <c:pt idx="98">
                  <c:v>47.1153846153846</c:v>
                </c:pt>
                <c:pt idx="99">
                  <c:v>47.5961538461539</c:v>
                </c:pt>
                <c:pt idx="100">
                  <c:v>48.0769230769231</c:v>
                </c:pt>
                <c:pt idx="101">
                  <c:v>48.5576923076923</c:v>
                </c:pt>
              </c:numCache>
            </c:numRef>
          </c:xVal>
          <c:yVal>
            <c:numRef>
              <c:f>Start_up!$C$10:$C$111</c:f>
              <c:numCache>
                <c:formatCode>General</c:formatCode>
                <c:ptCount val="102"/>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0.3</c:v>
                </c:pt>
                <c:pt idx="21">
                  <c:v>0.3</c:v>
                </c:pt>
                <c:pt idx="22">
                  <c:v>0.3</c:v>
                </c:pt>
                <c:pt idx="23">
                  <c:v>0.3</c:v>
                </c:pt>
                <c:pt idx="24">
                  <c:v>0.3</c:v>
                </c:pt>
                <c:pt idx="25">
                  <c:v>0.3</c:v>
                </c:pt>
                <c:pt idx="26">
                  <c:v>0.3</c:v>
                </c:pt>
                <c:pt idx="27">
                  <c:v>0.3</c:v>
                </c:pt>
                <c:pt idx="28">
                  <c:v>0.3</c:v>
                </c:pt>
                <c:pt idx="29">
                  <c:v>0.3</c:v>
                </c:pt>
                <c:pt idx="30">
                  <c:v>0.3</c:v>
                </c:pt>
                <c:pt idx="31">
                  <c:v>0.3</c:v>
                </c:pt>
                <c:pt idx="32">
                  <c:v>0.3</c:v>
                </c:pt>
                <c:pt idx="33">
                  <c:v>0.3</c:v>
                </c:pt>
                <c:pt idx="34">
                  <c:v>0.3</c:v>
                </c:pt>
                <c:pt idx="35">
                  <c:v>0.3</c:v>
                </c:pt>
                <c:pt idx="36">
                  <c:v>0.3</c:v>
                </c:pt>
                <c:pt idx="37">
                  <c:v>0.3</c:v>
                </c:pt>
                <c:pt idx="38">
                  <c:v>0.3</c:v>
                </c:pt>
                <c:pt idx="39">
                  <c:v>0.3</c:v>
                </c:pt>
                <c:pt idx="40">
                  <c:v>0.3</c:v>
                </c:pt>
                <c:pt idx="41">
                  <c:v>0.3</c:v>
                </c:pt>
                <c:pt idx="42">
                  <c:v>0.3</c:v>
                </c:pt>
                <c:pt idx="43">
                  <c:v>0.3</c:v>
                </c:pt>
                <c:pt idx="44">
                  <c:v>0.3</c:v>
                </c:pt>
                <c:pt idx="45">
                  <c:v>0.3</c:v>
                </c:pt>
                <c:pt idx="46">
                  <c:v>0.3</c:v>
                </c:pt>
                <c:pt idx="47">
                  <c:v>0.3</c:v>
                </c:pt>
                <c:pt idx="48">
                  <c:v>0.3</c:v>
                </c:pt>
                <c:pt idx="49">
                  <c:v>0.3</c:v>
                </c:pt>
                <c:pt idx="50">
                  <c:v>0.3</c:v>
                </c:pt>
                <c:pt idx="51">
                  <c:v>0.3</c:v>
                </c:pt>
                <c:pt idx="52">
                  <c:v>0.3</c:v>
                </c:pt>
                <c:pt idx="53">
                  <c:v>0.3</c:v>
                </c:pt>
                <c:pt idx="54">
                  <c:v>0.3</c:v>
                </c:pt>
                <c:pt idx="55">
                  <c:v>0.3</c:v>
                </c:pt>
                <c:pt idx="56">
                  <c:v>0.3</c:v>
                </c:pt>
                <c:pt idx="57">
                  <c:v>0.3</c:v>
                </c:pt>
                <c:pt idx="58">
                  <c:v>0.3</c:v>
                </c:pt>
                <c:pt idx="59">
                  <c:v>0.3</c:v>
                </c:pt>
                <c:pt idx="60">
                  <c:v>0.3</c:v>
                </c:pt>
                <c:pt idx="61">
                  <c:v>0.3</c:v>
                </c:pt>
                <c:pt idx="62">
                  <c:v>0.3</c:v>
                </c:pt>
                <c:pt idx="63">
                  <c:v>0.3</c:v>
                </c:pt>
                <c:pt idx="64">
                  <c:v>0.3</c:v>
                </c:pt>
                <c:pt idx="65">
                  <c:v>0.3</c:v>
                </c:pt>
                <c:pt idx="66">
                  <c:v>0.3</c:v>
                </c:pt>
                <c:pt idx="67">
                  <c:v>0.3</c:v>
                </c:pt>
                <c:pt idx="68">
                  <c:v>0.3</c:v>
                </c:pt>
                <c:pt idx="69">
                  <c:v>0.3</c:v>
                </c:pt>
                <c:pt idx="70">
                  <c:v>0.3</c:v>
                </c:pt>
                <c:pt idx="71">
                  <c:v>0.3</c:v>
                </c:pt>
                <c:pt idx="72">
                  <c:v>0.3</c:v>
                </c:pt>
                <c:pt idx="73">
                  <c:v>0.3</c:v>
                </c:pt>
                <c:pt idx="74">
                  <c:v>0.3</c:v>
                </c:pt>
                <c:pt idx="75">
                  <c:v>0.3</c:v>
                </c:pt>
                <c:pt idx="76">
                  <c:v>0.3</c:v>
                </c:pt>
                <c:pt idx="77">
                  <c:v>0.3</c:v>
                </c:pt>
                <c:pt idx="78">
                  <c:v>0.3</c:v>
                </c:pt>
                <c:pt idx="79">
                  <c:v>0.3</c:v>
                </c:pt>
                <c:pt idx="80">
                  <c:v>0.3</c:v>
                </c:pt>
                <c:pt idx="81">
                  <c:v>0.3</c:v>
                </c:pt>
                <c:pt idx="82">
                  <c:v>0.3</c:v>
                </c:pt>
                <c:pt idx="83">
                  <c:v>0.3</c:v>
                </c:pt>
                <c:pt idx="84">
                  <c:v>0.3</c:v>
                </c:pt>
                <c:pt idx="85">
                  <c:v>0.3</c:v>
                </c:pt>
                <c:pt idx="86">
                  <c:v>0.3</c:v>
                </c:pt>
                <c:pt idx="87">
                  <c:v>0.3</c:v>
                </c:pt>
                <c:pt idx="88">
                  <c:v>0.3</c:v>
                </c:pt>
                <c:pt idx="89">
                  <c:v>0.3</c:v>
                </c:pt>
                <c:pt idx="90">
                  <c:v>0.3</c:v>
                </c:pt>
                <c:pt idx="91">
                  <c:v>0.3</c:v>
                </c:pt>
                <c:pt idx="92">
                  <c:v>0.3</c:v>
                </c:pt>
                <c:pt idx="93">
                  <c:v>0.3</c:v>
                </c:pt>
                <c:pt idx="94">
                  <c:v>0.3</c:v>
                </c:pt>
                <c:pt idx="95">
                  <c:v>0.3</c:v>
                </c:pt>
                <c:pt idx="96">
                  <c:v>0.3</c:v>
                </c:pt>
                <c:pt idx="97">
                  <c:v>0.3</c:v>
                </c:pt>
                <c:pt idx="98">
                  <c:v>0.3</c:v>
                </c:pt>
                <c:pt idx="99">
                  <c:v>0.3</c:v>
                </c:pt>
                <c:pt idx="100">
                  <c:v>0.3</c:v>
                </c:pt>
                <c:pt idx="101">
                  <c:v>0.3</c:v>
                </c:pt>
              </c:numCache>
            </c:numRef>
          </c:yVal>
          <c:smooth val="1"/>
        </c:ser>
        <c:ser>
          <c:idx val="1"/>
          <c:order val="1"/>
          <c:tx>
            <c:strRef>
              <c:f>Start_up!$G$7</c:f>
              <c:strCache>
                <c:ptCount val="1"/>
                <c:pt idx="0">
                  <c:v>IFET</c:v>
                </c:pt>
              </c:strCache>
            </c:strRef>
          </c:tx>
          <c:spPr>
            <a:solidFill>
              <a:srgbClr val="be4b48"/>
            </a:solidFill>
            <a:ln w="28440">
              <a:solidFill>
                <a:srgbClr val="be4b48"/>
              </a:solidFill>
              <a:round/>
            </a:ln>
          </c:spPr>
          <c:marker>
            <c:symbol val="none"/>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xVal>
            <c:numRef>
              <c:f>Start_up!$B$10:$B$111</c:f>
              <c:numCache>
                <c:formatCode>General</c:formatCode>
                <c:ptCount val="102"/>
                <c:pt idx="0">
                  <c:v>0</c:v>
                </c:pt>
                <c:pt idx="1">
                  <c:v>0.480769230769231</c:v>
                </c:pt>
                <c:pt idx="2">
                  <c:v>0.961538461538462</c:v>
                </c:pt>
                <c:pt idx="3">
                  <c:v>1.44230769230769</c:v>
                </c:pt>
                <c:pt idx="4">
                  <c:v>1.92307692307692</c:v>
                </c:pt>
                <c:pt idx="5">
                  <c:v>2.40384615384615</c:v>
                </c:pt>
                <c:pt idx="6">
                  <c:v>2.88461538461538</c:v>
                </c:pt>
                <c:pt idx="7">
                  <c:v>3.36538461538462</c:v>
                </c:pt>
                <c:pt idx="8">
                  <c:v>3.84615384615385</c:v>
                </c:pt>
                <c:pt idx="9">
                  <c:v>4.32692307692308</c:v>
                </c:pt>
                <c:pt idx="10">
                  <c:v>4.80769230769231</c:v>
                </c:pt>
                <c:pt idx="11">
                  <c:v>5.28846153846154</c:v>
                </c:pt>
                <c:pt idx="12">
                  <c:v>5.76923076923077</c:v>
                </c:pt>
                <c:pt idx="13">
                  <c:v>6.25</c:v>
                </c:pt>
                <c:pt idx="14">
                  <c:v>6.73076923076923</c:v>
                </c:pt>
                <c:pt idx="15">
                  <c:v>7.21153846153846</c:v>
                </c:pt>
                <c:pt idx="16">
                  <c:v>7.69230769230769</c:v>
                </c:pt>
                <c:pt idx="17">
                  <c:v>8.17307692307692</c:v>
                </c:pt>
                <c:pt idx="18">
                  <c:v>8.65384615384615</c:v>
                </c:pt>
                <c:pt idx="19">
                  <c:v>9.13461538461538</c:v>
                </c:pt>
                <c:pt idx="20">
                  <c:v>9.61538461538462</c:v>
                </c:pt>
                <c:pt idx="21">
                  <c:v>10.0961538461538</c:v>
                </c:pt>
                <c:pt idx="22">
                  <c:v>10.5769230769231</c:v>
                </c:pt>
                <c:pt idx="23">
                  <c:v>11.0576923076923</c:v>
                </c:pt>
                <c:pt idx="24">
                  <c:v>11.5384615384615</c:v>
                </c:pt>
                <c:pt idx="25">
                  <c:v>12.0192307692308</c:v>
                </c:pt>
                <c:pt idx="26">
                  <c:v>12.5</c:v>
                </c:pt>
                <c:pt idx="27">
                  <c:v>12.9807692307692</c:v>
                </c:pt>
                <c:pt idx="28">
                  <c:v>13.4615384615385</c:v>
                </c:pt>
                <c:pt idx="29">
                  <c:v>13.9423076923077</c:v>
                </c:pt>
                <c:pt idx="30">
                  <c:v>14.4230769230769</c:v>
                </c:pt>
                <c:pt idx="31">
                  <c:v>14.9038461538462</c:v>
                </c:pt>
                <c:pt idx="32">
                  <c:v>15.3846153846154</c:v>
                </c:pt>
                <c:pt idx="33">
                  <c:v>15.8653846153846</c:v>
                </c:pt>
                <c:pt idx="34">
                  <c:v>16.3461538461538</c:v>
                </c:pt>
                <c:pt idx="35">
                  <c:v>16.8269230769231</c:v>
                </c:pt>
                <c:pt idx="36">
                  <c:v>17.3076923076923</c:v>
                </c:pt>
                <c:pt idx="37">
                  <c:v>17.7884615384615</c:v>
                </c:pt>
                <c:pt idx="38">
                  <c:v>18.2692307692308</c:v>
                </c:pt>
                <c:pt idx="39">
                  <c:v>18.75</c:v>
                </c:pt>
                <c:pt idx="40">
                  <c:v>19.2307692307692</c:v>
                </c:pt>
                <c:pt idx="41">
                  <c:v>19.7115384615385</c:v>
                </c:pt>
                <c:pt idx="42">
                  <c:v>20.1923076923077</c:v>
                </c:pt>
                <c:pt idx="43">
                  <c:v>20.6730769230769</c:v>
                </c:pt>
                <c:pt idx="44">
                  <c:v>21.1538461538462</c:v>
                </c:pt>
                <c:pt idx="45">
                  <c:v>21.6346153846154</c:v>
                </c:pt>
                <c:pt idx="46">
                  <c:v>22.1153846153846</c:v>
                </c:pt>
                <c:pt idx="47">
                  <c:v>22.5961538461538</c:v>
                </c:pt>
                <c:pt idx="48">
                  <c:v>23.0769230769231</c:v>
                </c:pt>
                <c:pt idx="49">
                  <c:v>23.5576923076923</c:v>
                </c:pt>
                <c:pt idx="50">
                  <c:v>24.0384615384615</c:v>
                </c:pt>
                <c:pt idx="51">
                  <c:v>24.5192307692308</c:v>
                </c:pt>
                <c:pt idx="52">
                  <c:v>25</c:v>
                </c:pt>
                <c:pt idx="53">
                  <c:v>25.4807692307692</c:v>
                </c:pt>
                <c:pt idx="54">
                  <c:v>25.9615384615385</c:v>
                </c:pt>
                <c:pt idx="55">
                  <c:v>26.4423076923077</c:v>
                </c:pt>
                <c:pt idx="56">
                  <c:v>26.9230769230769</c:v>
                </c:pt>
                <c:pt idx="57">
                  <c:v>27.4038461538462</c:v>
                </c:pt>
                <c:pt idx="58">
                  <c:v>27.8846153846154</c:v>
                </c:pt>
                <c:pt idx="59">
                  <c:v>28.3653846153846</c:v>
                </c:pt>
                <c:pt idx="60">
                  <c:v>28.8461538461538</c:v>
                </c:pt>
                <c:pt idx="61">
                  <c:v>29.3269230769231</c:v>
                </c:pt>
                <c:pt idx="62">
                  <c:v>29.8076923076923</c:v>
                </c:pt>
                <c:pt idx="63">
                  <c:v>30.2884615384615</c:v>
                </c:pt>
                <c:pt idx="64">
                  <c:v>30.7692307692308</c:v>
                </c:pt>
                <c:pt idx="65">
                  <c:v>31.25</c:v>
                </c:pt>
                <c:pt idx="66">
                  <c:v>31.7307692307692</c:v>
                </c:pt>
                <c:pt idx="67">
                  <c:v>32.2115384615385</c:v>
                </c:pt>
                <c:pt idx="68">
                  <c:v>32.6923076923077</c:v>
                </c:pt>
                <c:pt idx="69">
                  <c:v>33.1730769230769</c:v>
                </c:pt>
                <c:pt idx="70">
                  <c:v>33.6538461538462</c:v>
                </c:pt>
                <c:pt idx="71">
                  <c:v>34.1346153846154</c:v>
                </c:pt>
                <c:pt idx="72">
                  <c:v>34.6153846153846</c:v>
                </c:pt>
                <c:pt idx="73">
                  <c:v>35.0961538461538</c:v>
                </c:pt>
                <c:pt idx="74">
                  <c:v>35.5769230769231</c:v>
                </c:pt>
                <c:pt idx="75">
                  <c:v>36.0576923076923</c:v>
                </c:pt>
                <c:pt idx="76">
                  <c:v>36.5384615384615</c:v>
                </c:pt>
                <c:pt idx="77">
                  <c:v>37.0192307692308</c:v>
                </c:pt>
                <c:pt idx="78">
                  <c:v>37.5</c:v>
                </c:pt>
                <c:pt idx="79">
                  <c:v>37.9807692307692</c:v>
                </c:pt>
                <c:pt idx="80">
                  <c:v>38.4615384615385</c:v>
                </c:pt>
                <c:pt idx="81">
                  <c:v>38.9423076923077</c:v>
                </c:pt>
                <c:pt idx="82">
                  <c:v>39.4230769230769</c:v>
                </c:pt>
                <c:pt idx="83">
                  <c:v>39.9038461538462</c:v>
                </c:pt>
                <c:pt idx="84">
                  <c:v>40.3846153846154</c:v>
                </c:pt>
                <c:pt idx="85">
                  <c:v>40.8653846153846</c:v>
                </c:pt>
                <c:pt idx="86">
                  <c:v>41.3461538461539</c:v>
                </c:pt>
                <c:pt idx="87">
                  <c:v>41.8269230769231</c:v>
                </c:pt>
                <c:pt idx="88">
                  <c:v>42.3076923076923</c:v>
                </c:pt>
                <c:pt idx="89">
                  <c:v>42.7884615384615</c:v>
                </c:pt>
                <c:pt idx="90">
                  <c:v>43.2692307692308</c:v>
                </c:pt>
                <c:pt idx="91">
                  <c:v>43.75</c:v>
                </c:pt>
                <c:pt idx="92">
                  <c:v>44.2307692307692</c:v>
                </c:pt>
                <c:pt idx="93">
                  <c:v>44.7115384615385</c:v>
                </c:pt>
                <c:pt idx="94">
                  <c:v>45.1923076923077</c:v>
                </c:pt>
                <c:pt idx="95">
                  <c:v>45.6730769230769</c:v>
                </c:pt>
                <c:pt idx="96">
                  <c:v>46.1538461538462</c:v>
                </c:pt>
                <c:pt idx="97">
                  <c:v>46.6346153846154</c:v>
                </c:pt>
                <c:pt idx="98">
                  <c:v>47.1153846153846</c:v>
                </c:pt>
                <c:pt idx="99">
                  <c:v>47.5961538461539</c:v>
                </c:pt>
                <c:pt idx="100">
                  <c:v>48.0769230769231</c:v>
                </c:pt>
                <c:pt idx="101">
                  <c:v>48.5576923076923</c:v>
                </c:pt>
              </c:numCache>
            </c:numRef>
          </c:xVal>
          <c:yVal>
            <c:numRef>
              <c:f>Start_up!$G$10:$G$112</c:f>
              <c:numCache>
                <c:formatCode>General</c:formatCode>
                <c:ptCount val="103"/>
                <c:pt idx="0">
                  <c:v>3.55925925925926</c:v>
                </c:pt>
                <c:pt idx="1">
                  <c:v>3.55925925925926</c:v>
                </c:pt>
                <c:pt idx="2">
                  <c:v>3.55925925925926</c:v>
                </c:pt>
                <c:pt idx="3">
                  <c:v>3.55925925925926</c:v>
                </c:pt>
                <c:pt idx="4">
                  <c:v>3.55925925925926</c:v>
                </c:pt>
                <c:pt idx="5">
                  <c:v>3.55925925925926</c:v>
                </c:pt>
                <c:pt idx="6">
                  <c:v>3.55925925925926</c:v>
                </c:pt>
                <c:pt idx="7">
                  <c:v>3.55925925925926</c:v>
                </c:pt>
                <c:pt idx="8">
                  <c:v>3.55925925925926</c:v>
                </c:pt>
                <c:pt idx="9">
                  <c:v>3.55925925925926</c:v>
                </c:pt>
                <c:pt idx="10">
                  <c:v>3.55925925925926</c:v>
                </c:pt>
                <c:pt idx="11">
                  <c:v>3.55925925925926</c:v>
                </c:pt>
                <c:pt idx="12">
                  <c:v>3.55925925925926</c:v>
                </c:pt>
                <c:pt idx="13">
                  <c:v>3.55925925925926</c:v>
                </c:pt>
                <c:pt idx="14">
                  <c:v>3.55925925925926</c:v>
                </c:pt>
                <c:pt idx="15">
                  <c:v>3.55925925925926</c:v>
                </c:pt>
                <c:pt idx="16">
                  <c:v>3.55925925925926</c:v>
                </c:pt>
                <c:pt idx="17">
                  <c:v>3.55925925925926</c:v>
                </c:pt>
                <c:pt idx="18">
                  <c:v>3.55925925925926</c:v>
                </c:pt>
                <c:pt idx="19">
                  <c:v>3.55925925925926</c:v>
                </c:pt>
                <c:pt idx="20">
                  <c:v>3.55925925925926</c:v>
                </c:pt>
                <c:pt idx="21">
                  <c:v>3.55925925925926</c:v>
                </c:pt>
                <c:pt idx="22">
                  <c:v>3.55925925925926</c:v>
                </c:pt>
                <c:pt idx="23">
                  <c:v>3.55925925925926</c:v>
                </c:pt>
                <c:pt idx="24">
                  <c:v>3.55925925925926</c:v>
                </c:pt>
                <c:pt idx="25">
                  <c:v>3.55925925925926</c:v>
                </c:pt>
                <c:pt idx="26">
                  <c:v>3.55925925925926</c:v>
                </c:pt>
                <c:pt idx="27">
                  <c:v>3.55925925925926</c:v>
                </c:pt>
                <c:pt idx="28">
                  <c:v>3.55925925925926</c:v>
                </c:pt>
                <c:pt idx="29">
                  <c:v>3.55925925925926</c:v>
                </c:pt>
                <c:pt idx="30">
                  <c:v>3.55925925925926</c:v>
                </c:pt>
                <c:pt idx="31">
                  <c:v>3.55925925925926</c:v>
                </c:pt>
                <c:pt idx="32">
                  <c:v>3.55925925925926</c:v>
                </c:pt>
                <c:pt idx="33">
                  <c:v>3.55925925925926</c:v>
                </c:pt>
                <c:pt idx="34">
                  <c:v>3.55925925925926</c:v>
                </c:pt>
                <c:pt idx="35">
                  <c:v>3.55925925925926</c:v>
                </c:pt>
                <c:pt idx="36">
                  <c:v>3.55925925925926</c:v>
                </c:pt>
                <c:pt idx="37">
                  <c:v>3.55925925925926</c:v>
                </c:pt>
                <c:pt idx="38">
                  <c:v>3.55925925925926</c:v>
                </c:pt>
                <c:pt idx="39">
                  <c:v>3.55925925925926</c:v>
                </c:pt>
                <c:pt idx="40">
                  <c:v>3.55925925925926</c:v>
                </c:pt>
                <c:pt idx="41">
                  <c:v>3.55925925925926</c:v>
                </c:pt>
                <c:pt idx="42">
                  <c:v>3.55925925925926</c:v>
                </c:pt>
                <c:pt idx="43">
                  <c:v>3.55925925925926</c:v>
                </c:pt>
                <c:pt idx="44">
                  <c:v>3.55925925925926</c:v>
                </c:pt>
                <c:pt idx="45">
                  <c:v>3.55925925925926</c:v>
                </c:pt>
                <c:pt idx="46">
                  <c:v>3.55925925925926</c:v>
                </c:pt>
                <c:pt idx="47">
                  <c:v>3.55925925925926</c:v>
                </c:pt>
                <c:pt idx="48">
                  <c:v>3.55925925925926</c:v>
                </c:pt>
                <c:pt idx="49">
                  <c:v>3.55925925925926</c:v>
                </c:pt>
                <c:pt idx="50">
                  <c:v>3.55925925925926</c:v>
                </c:pt>
                <c:pt idx="51">
                  <c:v>3.55925925925926</c:v>
                </c:pt>
                <c:pt idx="52">
                  <c:v>3.55925925925926</c:v>
                </c:pt>
                <c:pt idx="53">
                  <c:v>3.55925925925926</c:v>
                </c:pt>
                <c:pt idx="54">
                  <c:v>3.55925925925926</c:v>
                </c:pt>
                <c:pt idx="55">
                  <c:v>3.55925925925926</c:v>
                </c:pt>
                <c:pt idx="56">
                  <c:v>3.55925925925926</c:v>
                </c:pt>
                <c:pt idx="57">
                  <c:v>3.55925925925926</c:v>
                </c:pt>
                <c:pt idx="58">
                  <c:v>3.55925925925926</c:v>
                </c:pt>
                <c:pt idx="59">
                  <c:v>3.55925925925926</c:v>
                </c:pt>
                <c:pt idx="60">
                  <c:v>3.55925925925926</c:v>
                </c:pt>
                <c:pt idx="61">
                  <c:v>3.55925925925926</c:v>
                </c:pt>
                <c:pt idx="62">
                  <c:v>3.55925925925926</c:v>
                </c:pt>
                <c:pt idx="63">
                  <c:v>3.55925925925926</c:v>
                </c:pt>
                <c:pt idx="64">
                  <c:v>3.55925925925926</c:v>
                </c:pt>
                <c:pt idx="65">
                  <c:v>3.55925925925926</c:v>
                </c:pt>
                <c:pt idx="66">
                  <c:v>3.55925925925926</c:v>
                </c:pt>
                <c:pt idx="67">
                  <c:v>3.55925925925926</c:v>
                </c:pt>
                <c:pt idx="68">
                  <c:v>3.55925925925926</c:v>
                </c:pt>
                <c:pt idx="69">
                  <c:v>3.55925925925926</c:v>
                </c:pt>
                <c:pt idx="70">
                  <c:v>3.55925925925926</c:v>
                </c:pt>
                <c:pt idx="71">
                  <c:v>3.55925925925926</c:v>
                </c:pt>
                <c:pt idx="72">
                  <c:v>3.55925925925926</c:v>
                </c:pt>
                <c:pt idx="73">
                  <c:v>3.55925925925926</c:v>
                </c:pt>
                <c:pt idx="74">
                  <c:v>3.55925925925926</c:v>
                </c:pt>
                <c:pt idx="75">
                  <c:v>3.55925925925926</c:v>
                </c:pt>
                <c:pt idx="76">
                  <c:v>3.55925925925926</c:v>
                </c:pt>
                <c:pt idx="77">
                  <c:v>3.55925925925926</c:v>
                </c:pt>
                <c:pt idx="78">
                  <c:v>3.55925925925926</c:v>
                </c:pt>
                <c:pt idx="79">
                  <c:v>3.55925925925926</c:v>
                </c:pt>
                <c:pt idx="80">
                  <c:v>3.55925925925926</c:v>
                </c:pt>
                <c:pt idx="81">
                  <c:v>3.55925925925926</c:v>
                </c:pt>
                <c:pt idx="82">
                  <c:v>3.55925925925926</c:v>
                </c:pt>
                <c:pt idx="83">
                  <c:v>3.55925925925926</c:v>
                </c:pt>
                <c:pt idx="84">
                  <c:v>3.55925925925926</c:v>
                </c:pt>
                <c:pt idx="85">
                  <c:v>3.55925925925926</c:v>
                </c:pt>
                <c:pt idx="86">
                  <c:v>3.55925925925926</c:v>
                </c:pt>
                <c:pt idx="87">
                  <c:v>3.55925925925926</c:v>
                </c:pt>
                <c:pt idx="88">
                  <c:v>3.55925925925926</c:v>
                </c:pt>
                <c:pt idx="89">
                  <c:v>3.55925925925926</c:v>
                </c:pt>
                <c:pt idx="90">
                  <c:v>3.55925925925926</c:v>
                </c:pt>
                <c:pt idx="91">
                  <c:v>3.55925925925926</c:v>
                </c:pt>
                <c:pt idx="92">
                  <c:v>3.55925925925926</c:v>
                </c:pt>
                <c:pt idx="93">
                  <c:v>3.55925925925926</c:v>
                </c:pt>
                <c:pt idx="94">
                  <c:v>3.55925925925926</c:v>
                </c:pt>
                <c:pt idx="95">
                  <c:v>3.55925925925926</c:v>
                </c:pt>
                <c:pt idx="96">
                  <c:v>3.55925925925926</c:v>
                </c:pt>
                <c:pt idx="97">
                  <c:v>3.55925925925926</c:v>
                </c:pt>
                <c:pt idx="98">
                  <c:v>3.55925925925926</c:v>
                </c:pt>
                <c:pt idx="99">
                  <c:v>3.55925925925926</c:v>
                </c:pt>
                <c:pt idx="100">
                  <c:v>3.55925925925926</c:v>
                </c:pt>
                <c:pt idx="101">
                  <c:v>3.55925925925926</c:v>
                </c:pt>
                <c:pt idx="102">
                  <c:v>3.55925925925926</c:v>
                </c:pt>
              </c:numCache>
            </c:numRef>
          </c:yVal>
          <c:smooth val="1"/>
        </c:ser>
        <c:axId val="43906000"/>
        <c:axId val="8778878"/>
      </c:scatterChart>
      <c:valAx>
        <c:axId val="43906000"/>
        <c:scaling>
          <c:orientation val="minMax"/>
        </c:scaling>
        <c:delete val="0"/>
        <c:axPos val="b"/>
        <c:majorGridlines>
          <c:spPr>
            <a:ln w="9360">
              <a:solidFill>
                <a:srgbClr val="878787"/>
              </a:solidFill>
              <a:round/>
            </a:ln>
          </c:spPr>
        </c:majorGridlines>
        <c:minorGridlines>
          <c:spPr>
            <a:ln w="9360">
              <a:solidFill>
                <a:srgbClr val="b7b7b7"/>
              </a:solidFill>
              <a:round/>
            </a:ln>
          </c:spPr>
        </c:minorGridlines>
        <c:title>
          <c:tx>
            <c:rich>
              <a:bodyPr rot="0"/>
              <a:lstStyle/>
              <a:p>
                <a:pPr>
                  <a:defRPr b="1" lang="en-US" sz="1000" spc="-1" strike="noStrike">
                    <a:solidFill>
                      <a:srgbClr val="000000"/>
                    </a:solidFill>
                    <a:latin typeface="Calibri"/>
                  </a:defRPr>
                </a:pPr>
                <a:r>
                  <a:rPr b="1" lang="en-US" sz="1000" spc="-1" strike="noStrike">
                    <a:solidFill>
                      <a:srgbClr val="000000"/>
                    </a:solidFill>
                    <a:latin typeface="Calibri"/>
                  </a:rPr>
                  <a:t>Output Voltage (V)</a:t>
                </a:r>
              </a:p>
            </c:rich>
          </c:tx>
          <c:layout>
            <c:manualLayout>
              <c:xMode val="edge"/>
              <c:yMode val="edge"/>
              <c:x val="0.409063955950868"/>
              <c:y val="0.925480036574215"/>
            </c:manualLayout>
          </c:layout>
          <c:overlay val="0"/>
          <c:spPr>
            <a:noFill/>
            <a:ln>
              <a:noFill/>
            </a:ln>
          </c:spPr>
        </c:title>
        <c:numFmt formatCode="0.0" sourceLinked="0"/>
        <c:majorTickMark val="out"/>
        <c:minorTickMark val="none"/>
        <c:tickLblPos val="nextTo"/>
        <c:spPr>
          <a:ln w="9360">
            <a:solidFill>
              <a:srgbClr val="878787"/>
            </a:solidFill>
            <a:round/>
          </a:ln>
        </c:spPr>
        <c:txPr>
          <a:bodyPr/>
          <a:lstStyle/>
          <a:p>
            <a:pPr>
              <a:defRPr b="1" sz="1000" spc="-1" strike="noStrike">
                <a:solidFill>
                  <a:srgbClr val="000000"/>
                </a:solidFill>
                <a:latin typeface="Calibri"/>
              </a:defRPr>
            </a:pPr>
          </a:p>
        </c:txPr>
        <c:crossAx val="8778878"/>
        <c:crosses val="autoZero"/>
        <c:crossBetween val="midCat"/>
      </c:valAx>
      <c:valAx>
        <c:axId val="8778878"/>
        <c:scaling>
          <c:orientation val="minMax"/>
        </c:scaling>
        <c:delete val="0"/>
        <c:axPos val="l"/>
        <c:majorGridlines>
          <c:spPr>
            <a:ln w="9360">
              <a:solidFill>
                <a:srgbClr val="878787"/>
              </a:solidFill>
              <a:round/>
            </a:ln>
          </c:spPr>
        </c:majorGridlines>
        <c:minorGridlines>
          <c:spPr>
            <a:ln w="9360">
              <a:solidFill>
                <a:srgbClr val="b7b7b7"/>
              </a:solidFill>
              <a:round/>
            </a:ln>
          </c:spPr>
        </c:minorGridlines>
        <c:title>
          <c:tx>
            <c:rich>
              <a:bodyPr rot="-5400000"/>
              <a:lstStyle/>
              <a:p>
                <a:pPr>
                  <a:defRPr b="1" lang="en-US" sz="1000" spc="-1" strike="noStrike">
                    <a:solidFill>
                      <a:srgbClr val="000000"/>
                    </a:solidFill>
                    <a:latin typeface="Calibri"/>
                  </a:defRPr>
                </a:pPr>
                <a:r>
                  <a:rPr b="1" lang="en-US" sz="1000" spc="-1" strike="noStrike">
                    <a:solidFill>
                      <a:srgbClr val="000000"/>
                    </a:solidFill>
                    <a:latin typeface="Calibri"/>
                  </a:rPr>
                  <a:t>Current (A)</a:t>
                </a:r>
              </a:p>
            </c:rich>
          </c:tx>
          <c:layout>
            <c:manualLayout>
              <c:xMode val="edge"/>
              <c:yMode val="edge"/>
              <c:x val="0.0228716645489199"/>
              <c:y val="0.401554404145078"/>
            </c:manualLayout>
          </c:layout>
          <c:overlay val="0"/>
          <c:spPr>
            <a:noFill/>
            <a:ln>
              <a:noFill/>
            </a:ln>
          </c:spPr>
        </c:title>
        <c:numFmt formatCode="0.00" sourceLinked="0"/>
        <c:majorTickMark val="out"/>
        <c:minorTickMark val="none"/>
        <c:tickLblPos val="nextTo"/>
        <c:spPr>
          <a:ln w="9360">
            <a:solidFill>
              <a:srgbClr val="878787"/>
            </a:solidFill>
            <a:round/>
          </a:ln>
        </c:spPr>
        <c:txPr>
          <a:bodyPr/>
          <a:lstStyle/>
          <a:p>
            <a:pPr>
              <a:defRPr b="1" sz="1000" spc="-1" strike="noStrike">
                <a:solidFill>
                  <a:srgbClr val="000000"/>
                </a:solidFill>
                <a:latin typeface="Calibri"/>
              </a:defRPr>
            </a:pPr>
          </a:p>
        </c:txPr>
        <c:crossAx val="43906000"/>
        <c:crosses val="autoZero"/>
        <c:crossBetween val="midCat"/>
      </c:valAx>
      <c:spPr>
        <a:solidFill>
          <a:srgbClr val="ffffff"/>
        </a:solidFill>
        <a:ln>
          <a:noFill/>
        </a:ln>
      </c:spPr>
    </c:plotArea>
    <c:legend>
      <c:legendPos val="r"/>
      <c:layout>
        <c:manualLayout>
          <c:xMode val="edge"/>
          <c:yMode val="edge"/>
          <c:x val="0.200979428424124"/>
          <c:y val="0.16726500821759"/>
          <c:w val="0.214622300929856"/>
          <c:h val="0.18516649249276"/>
        </c:manualLayout>
      </c:layout>
      <c:overlay val="0"/>
      <c:spPr>
        <a:solidFill>
          <a:srgbClr val="ffffff"/>
        </a:solidFill>
        <a:ln>
          <a:solidFill>
            <a:srgbClr val="000000"/>
          </a:solid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600" spc="-1" strike="noStrike">
                <a:solidFill>
                  <a:srgbClr val="000000"/>
                </a:solidFill>
                <a:latin typeface="Calibri"/>
              </a:defRPr>
            </a:pPr>
            <a:r>
              <a:rPr b="1" lang="en-US" sz="1600" spc="-1" strike="noStrike">
                <a:solidFill>
                  <a:srgbClr val="000000"/>
                </a:solidFill>
                <a:latin typeface="Calibri"/>
              </a:rPr>
              <a:t>Start - up: FET Power (VIN = VINMAX)</a:t>
            </a:r>
          </a:p>
        </c:rich>
      </c:tx>
      <c:layout>
        <c:manualLayout>
          <c:xMode val="edge"/>
          <c:yMode val="edge"/>
          <c:x val="0.19645372441793"/>
          <c:y val="0.00479945149125814"/>
        </c:manualLayout>
      </c:layout>
      <c:overlay val="0"/>
      <c:spPr>
        <a:solidFill>
          <a:srgbClr val="ffffff"/>
        </a:solidFill>
        <a:ln>
          <a:noFill/>
        </a:ln>
      </c:spPr>
    </c:title>
    <c:autoTitleDeleted val="0"/>
    <c:plotArea>
      <c:layout>
        <c:manualLayout>
          <c:layoutTarget val="inner"/>
          <c:xMode val="edge"/>
          <c:yMode val="edge"/>
          <c:x val="0.139033888474604"/>
          <c:y val="0.0809050394240658"/>
          <c:w val="0.76750352141851"/>
          <c:h val="0.718375042852245"/>
        </c:manualLayout>
      </c:layout>
      <c:scatterChart>
        <c:scatterStyle val="line"/>
        <c:varyColors val="0"/>
        <c:ser>
          <c:idx val="0"/>
          <c:order val="0"/>
          <c:tx>
            <c:strRef>
              <c:f>"FET power dissipation"</c:f>
              <c:strCache>
                <c:ptCount val="1"/>
                <c:pt idx="0">
                  <c:v>FET power dissipation</c:v>
                </c:pt>
              </c:strCache>
            </c:strRef>
          </c:tx>
          <c:spPr>
            <a:solidFill>
              <a:srgbClr val="4a7ebb"/>
            </a:solidFill>
            <a:ln w="28440">
              <a:solidFill>
                <a:srgbClr val="4a7ebb"/>
              </a:solidFill>
              <a:round/>
            </a:ln>
          </c:spPr>
          <c:marker>
            <c:symbol val="none"/>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xVal>
            <c:numRef>
              <c:f>Start_up!$K$8:$K$115</c:f>
              <c:numCache>
                <c:formatCode>General</c:formatCode>
                <c:ptCount val="108"/>
                <c:pt idx="0">
                  <c:v>-10</c:v>
                </c:pt>
                <c:pt idx="1">
                  <c:v>-0.01</c:v>
                </c:pt>
                <c:pt idx="2">
                  <c:v>0</c:v>
                </c:pt>
                <c:pt idx="3">
                  <c:v>0.590034965034965</c:v>
                </c:pt>
                <c:pt idx="4">
                  <c:v>1.18006993006993</c:v>
                </c:pt>
                <c:pt idx="5">
                  <c:v>1.77010489510489</c:v>
                </c:pt>
                <c:pt idx="6">
                  <c:v>2.36013986013986</c:v>
                </c:pt>
                <c:pt idx="7">
                  <c:v>2.95017482517482</c:v>
                </c:pt>
                <c:pt idx="8">
                  <c:v>3.54020979020978</c:v>
                </c:pt>
                <c:pt idx="9">
                  <c:v>4.13024475524476</c:v>
                </c:pt>
                <c:pt idx="10">
                  <c:v>4.72027972027973</c:v>
                </c:pt>
                <c:pt idx="11">
                  <c:v>5.31031468531469</c:v>
                </c:pt>
                <c:pt idx="12">
                  <c:v>5.90034965034965</c:v>
                </c:pt>
                <c:pt idx="13">
                  <c:v>6.49038461538462</c:v>
                </c:pt>
                <c:pt idx="14">
                  <c:v>7.08041958041958</c:v>
                </c:pt>
                <c:pt idx="15">
                  <c:v>7.67045454545455</c:v>
                </c:pt>
                <c:pt idx="16">
                  <c:v>8.26048951048951</c:v>
                </c:pt>
                <c:pt idx="17">
                  <c:v>8.85052447552448</c:v>
                </c:pt>
                <c:pt idx="18">
                  <c:v>9.44055944055944</c:v>
                </c:pt>
                <c:pt idx="19">
                  <c:v>10.0305944055944</c:v>
                </c:pt>
                <c:pt idx="20">
                  <c:v>10.6206293706294</c:v>
                </c:pt>
                <c:pt idx="21">
                  <c:v>11.2106643356643</c:v>
                </c:pt>
                <c:pt idx="22">
                  <c:v>11.8006993006993</c:v>
                </c:pt>
                <c:pt idx="23">
                  <c:v>12.3907342657342</c:v>
                </c:pt>
                <c:pt idx="24">
                  <c:v>12.9807692307693</c:v>
                </c:pt>
                <c:pt idx="25">
                  <c:v>13.5708041958042</c:v>
                </c:pt>
                <c:pt idx="26">
                  <c:v>14.1608391608391</c:v>
                </c:pt>
                <c:pt idx="27">
                  <c:v>14.7508741258742</c:v>
                </c:pt>
                <c:pt idx="28">
                  <c:v>15.3409090909091</c:v>
                </c:pt>
                <c:pt idx="29">
                  <c:v>15.930944055944</c:v>
                </c:pt>
                <c:pt idx="30">
                  <c:v>16.5209790209791</c:v>
                </c:pt>
                <c:pt idx="31">
                  <c:v>17.111013986014</c:v>
                </c:pt>
                <c:pt idx="32">
                  <c:v>17.7010489510489</c:v>
                </c:pt>
                <c:pt idx="33">
                  <c:v>18.291083916084</c:v>
                </c:pt>
                <c:pt idx="34">
                  <c:v>18.8811188811189</c:v>
                </c:pt>
                <c:pt idx="35">
                  <c:v>19.4711538461538</c:v>
                </c:pt>
                <c:pt idx="36">
                  <c:v>20.0611888111888</c:v>
                </c:pt>
                <c:pt idx="37">
                  <c:v>20.6512237762238</c:v>
                </c:pt>
                <c:pt idx="38">
                  <c:v>21.2412587412587</c:v>
                </c:pt>
                <c:pt idx="39">
                  <c:v>21.8312937062937</c:v>
                </c:pt>
                <c:pt idx="40">
                  <c:v>22.4213286713287</c:v>
                </c:pt>
                <c:pt idx="41">
                  <c:v>23.0113636363636</c:v>
                </c:pt>
                <c:pt idx="42">
                  <c:v>23.6013986013986</c:v>
                </c:pt>
                <c:pt idx="43">
                  <c:v>24.1914335664336</c:v>
                </c:pt>
                <c:pt idx="44">
                  <c:v>24.7814685314686</c:v>
                </c:pt>
                <c:pt idx="45">
                  <c:v>25.3715034965035</c:v>
                </c:pt>
                <c:pt idx="46">
                  <c:v>25.9615384615385</c:v>
                </c:pt>
                <c:pt idx="47">
                  <c:v>26.5515734265735</c:v>
                </c:pt>
                <c:pt idx="48">
                  <c:v>27.1416083916084</c:v>
                </c:pt>
                <c:pt idx="49">
                  <c:v>27.7316433566433</c:v>
                </c:pt>
                <c:pt idx="50">
                  <c:v>28.3216783216784</c:v>
                </c:pt>
                <c:pt idx="51">
                  <c:v>28.9117132867133</c:v>
                </c:pt>
                <c:pt idx="52">
                  <c:v>29.5017482517482</c:v>
                </c:pt>
                <c:pt idx="53">
                  <c:v>30.0917832167833</c:v>
                </c:pt>
                <c:pt idx="54">
                  <c:v>30.6818181818182</c:v>
                </c:pt>
                <c:pt idx="55">
                  <c:v>31.2718531468531</c:v>
                </c:pt>
                <c:pt idx="56">
                  <c:v>31.8618881118882</c:v>
                </c:pt>
                <c:pt idx="57">
                  <c:v>32.4519230769231</c:v>
                </c:pt>
                <c:pt idx="58">
                  <c:v>33.041958041958</c:v>
                </c:pt>
                <c:pt idx="59">
                  <c:v>33.6319930069931</c:v>
                </c:pt>
                <c:pt idx="60">
                  <c:v>34.222027972028</c:v>
                </c:pt>
                <c:pt idx="61">
                  <c:v>34.8120629370629</c:v>
                </c:pt>
                <c:pt idx="62">
                  <c:v>35.4020979020979</c:v>
                </c:pt>
                <c:pt idx="63">
                  <c:v>35.9921328671329</c:v>
                </c:pt>
                <c:pt idx="64">
                  <c:v>36.5821678321678</c:v>
                </c:pt>
                <c:pt idx="65">
                  <c:v>37.1722027972028</c:v>
                </c:pt>
                <c:pt idx="66">
                  <c:v>37.7622377622378</c:v>
                </c:pt>
                <c:pt idx="67">
                  <c:v>38.3522727272727</c:v>
                </c:pt>
                <c:pt idx="68">
                  <c:v>38.9423076923077</c:v>
                </c:pt>
                <c:pt idx="69">
                  <c:v>39.5323426573427</c:v>
                </c:pt>
                <c:pt idx="70">
                  <c:v>40.1223776223776</c:v>
                </c:pt>
                <c:pt idx="71">
                  <c:v>40.7124125874126</c:v>
                </c:pt>
                <c:pt idx="72">
                  <c:v>41.3024475524476</c:v>
                </c:pt>
                <c:pt idx="73">
                  <c:v>41.8924825174825</c:v>
                </c:pt>
                <c:pt idx="74">
                  <c:v>42.4825174825175</c:v>
                </c:pt>
                <c:pt idx="75">
                  <c:v>43.0725524475524</c:v>
                </c:pt>
                <c:pt idx="76">
                  <c:v>43.6625874125874</c:v>
                </c:pt>
                <c:pt idx="77">
                  <c:v>44.2526223776224</c:v>
                </c:pt>
                <c:pt idx="78">
                  <c:v>44.8426573426573</c:v>
                </c:pt>
                <c:pt idx="79">
                  <c:v>45.4326923076923</c:v>
                </c:pt>
                <c:pt idx="80">
                  <c:v>46.0227272727273</c:v>
                </c:pt>
                <c:pt idx="81">
                  <c:v>46.6127622377622</c:v>
                </c:pt>
                <c:pt idx="82">
                  <c:v>47.2027972027972</c:v>
                </c:pt>
                <c:pt idx="83">
                  <c:v>47.7928321678322</c:v>
                </c:pt>
                <c:pt idx="84">
                  <c:v>48.3828671328671</c:v>
                </c:pt>
                <c:pt idx="85">
                  <c:v>48.9729020979021</c:v>
                </c:pt>
                <c:pt idx="86">
                  <c:v>49.5629370629371</c:v>
                </c:pt>
                <c:pt idx="87">
                  <c:v>50.152972027972</c:v>
                </c:pt>
                <c:pt idx="88">
                  <c:v>50.743006993007</c:v>
                </c:pt>
                <c:pt idx="89">
                  <c:v>51.333041958042</c:v>
                </c:pt>
                <c:pt idx="90">
                  <c:v>51.9230769230769</c:v>
                </c:pt>
                <c:pt idx="91">
                  <c:v>52.5131118881118</c:v>
                </c:pt>
                <c:pt idx="92">
                  <c:v>53.1031468531469</c:v>
                </c:pt>
                <c:pt idx="93">
                  <c:v>53.6931818181818</c:v>
                </c:pt>
                <c:pt idx="94">
                  <c:v>54.2832167832167</c:v>
                </c:pt>
                <c:pt idx="95">
                  <c:v>54.8732517482518</c:v>
                </c:pt>
                <c:pt idx="96">
                  <c:v>55.4632867132867</c:v>
                </c:pt>
                <c:pt idx="97">
                  <c:v>56.0533216783216</c:v>
                </c:pt>
                <c:pt idx="98">
                  <c:v>56.6433566433567</c:v>
                </c:pt>
                <c:pt idx="99">
                  <c:v>57.2333916083916</c:v>
                </c:pt>
                <c:pt idx="100">
                  <c:v>57.8234265734265</c:v>
                </c:pt>
                <c:pt idx="101">
                  <c:v>58.4134615384616</c:v>
                </c:pt>
                <c:pt idx="102">
                  <c:v>59.0034965034965</c:v>
                </c:pt>
                <c:pt idx="103">
                  <c:v>59.5935314685314</c:v>
                </c:pt>
                <c:pt idx="104">
                  <c:v>60.1835664335663</c:v>
                </c:pt>
                <c:pt idx="105">
                  <c:v>60.7736013986014</c:v>
                </c:pt>
                <c:pt idx="106">
                  <c:v>61.3636363636363</c:v>
                </c:pt>
                <c:pt idx="107">
                  <c:v>61.8636363636363</c:v>
                </c:pt>
              </c:numCache>
            </c:numRef>
          </c:xVal>
          <c:yVal>
            <c:numRef>
              <c:f>Start_up!$O$8:$O$115</c:f>
              <c:numCache>
                <c:formatCode>General</c:formatCode>
                <c:ptCount val="108"/>
                <c:pt idx="0">
                  <c:v>0</c:v>
                </c:pt>
                <c:pt idx="1">
                  <c:v>0</c:v>
                </c:pt>
                <c:pt idx="2">
                  <c:v>177.962962962963</c:v>
                </c:pt>
                <c:pt idx="3">
                  <c:v>176.251780626781</c:v>
                </c:pt>
                <c:pt idx="4">
                  <c:v>174.540598290598</c:v>
                </c:pt>
                <c:pt idx="5">
                  <c:v>172.829415954416</c:v>
                </c:pt>
                <c:pt idx="6">
                  <c:v>171.118233618234</c:v>
                </c:pt>
                <c:pt idx="7">
                  <c:v>169.407051282051</c:v>
                </c:pt>
                <c:pt idx="8">
                  <c:v>167.695868945869</c:v>
                </c:pt>
                <c:pt idx="9">
                  <c:v>165.984686609687</c:v>
                </c:pt>
                <c:pt idx="10">
                  <c:v>164.273504273504</c:v>
                </c:pt>
                <c:pt idx="11">
                  <c:v>162.562321937322</c:v>
                </c:pt>
                <c:pt idx="12">
                  <c:v>160.85113960114</c:v>
                </c:pt>
                <c:pt idx="13">
                  <c:v>159.139957264957</c:v>
                </c:pt>
                <c:pt idx="14">
                  <c:v>157.428774928775</c:v>
                </c:pt>
                <c:pt idx="15">
                  <c:v>155.717592592593</c:v>
                </c:pt>
                <c:pt idx="16">
                  <c:v>154.00641025641</c:v>
                </c:pt>
                <c:pt idx="17">
                  <c:v>152.295227920228</c:v>
                </c:pt>
                <c:pt idx="18">
                  <c:v>150.584045584046</c:v>
                </c:pt>
                <c:pt idx="19">
                  <c:v>148.872863247863</c:v>
                </c:pt>
                <c:pt idx="20">
                  <c:v>147.161680911681</c:v>
                </c:pt>
                <c:pt idx="21">
                  <c:v>145.450498575499</c:v>
                </c:pt>
                <c:pt idx="22">
                  <c:v>143.739316239316</c:v>
                </c:pt>
                <c:pt idx="23">
                  <c:v>142.028133903134</c:v>
                </c:pt>
                <c:pt idx="24">
                  <c:v>140.316951566951</c:v>
                </c:pt>
                <c:pt idx="25">
                  <c:v>138.605769230769</c:v>
                </c:pt>
                <c:pt idx="26">
                  <c:v>136.894586894587</c:v>
                </c:pt>
                <c:pt idx="27">
                  <c:v>135.183404558404</c:v>
                </c:pt>
                <c:pt idx="28">
                  <c:v>133.472222222222</c:v>
                </c:pt>
                <c:pt idx="29">
                  <c:v>131.76103988604</c:v>
                </c:pt>
                <c:pt idx="30">
                  <c:v>130.049857549857</c:v>
                </c:pt>
                <c:pt idx="31">
                  <c:v>128.338675213675</c:v>
                </c:pt>
                <c:pt idx="32">
                  <c:v>126.627492877493</c:v>
                </c:pt>
                <c:pt idx="33">
                  <c:v>124.91631054131</c:v>
                </c:pt>
                <c:pt idx="34">
                  <c:v>123.205128205128</c:v>
                </c:pt>
                <c:pt idx="35">
                  <c:v>121.493945868946</c:v>
                </c:pt>
                <c:pt idx="36">
                  <c:v>119.782763532764</c:v>
                </c:pt>
                <c:pt idx="37">
                  <c:v>118.071581196581</c:v>
                </c:pt>
                <c:pt idx="38">
                  <c:v>116.360398860399</c:v>
                </c:pt>
                <c:pt idx="39">
                  <c:v>114.649216524217</c:v>
                </c:pt>
                <c:pt idx="40">
                  <c:v>112.938034188034</c:v>
                </c:pt>
                <c:pt idx="41">
                  <c:v>111.226851851852</c:v>
                </c:pt>
                <c:pt idx="42">
                  <c:v>109.51566951567</c:v>
                </c:pt>
                <c:pt idx="43">
                  <c:v>107.804487179487</c:v>
                </c:pt>
                <c:pt idx="44">
                  <c:v>106.093304843305</c:v>
                </c:pt>
                <c:pt idx="45">
                  <c:v>104.382122507123</c:v>
                </c:pt>
                <c:pt idx="46">
                  <c:v>102.67094017094</c:v>
                </c:pt>
                <c:pt idx="47">
                  <c:v>100.959757834758</c:v>
                </c:pt>
                <c:pt idx="48">
                  <c:v>99.2485754985756</c:v>
                </c:pt>
                <c:pt idx="49">
                  <c:v>97.5373931623933</c:v>
                </c:pt>
                <c:pt idx="50">
                  <c:v>95.8262108262107</c:v>
                </c:pt>
                <c:pt idx="51">
                  <c:v>94.1150284900285</c:v>
                </c:pt>
                <c:pt idx="52">
                  <c:v>92.4038461538463</c:v>
                </c:pt>
                <c:pt idx="53">
                  <c:v>90.6926638176637</c:v>
                </c:pt>
                <c:pt idx="54">
                  <c:v>88.9814814814815</c:v>
                </c:pt>
                <c:pt idx="55">
                  <c:v>87.2702991452993</c:v>
                </c:pt>
                <c:pt idx="56">
                  <c:v>85.5591168091167</c:v>
                </c:pt>
                <c:pt idx="57">
                  <c:v>83.8479344729344</c:v>
                </c:pt>
                <c:pt idx="58">
                  <c:v>82.1367521367522</c:v>
                </c:pt>
                <c:pt idx="59">
                  <c:v>80.4255698005696</c:v>
                </c:pt>
                <c:pt idx="60">
                  <c:v>78.7143874643874</c:v>
                </c:pt>
                <c:pt idx="61">
                  <c:v>77.0032051282052</c:v>
                </c:pt>
                <c:pt idx="62">
                  <c:v>75.292022792023</c:v>
                </c:pt>
                <c:pt idx="63">
                  <c:v>73.5808404558404</c:v>
                </c:pt>
                <c:pt idx="64">
                  <c:v>71.8696581196582</c:v>
                </c:pt>
                <c:pt idx="65">
                  <c:v>70.1584757834759</c:v>
                </c:pt>
                <c:pt idx="66">
                  <c:v>68.4472934472934</c:v>
                </c:pt>
                <c:pt idx="67">
                  <c:v>66.7361111111111</c:v>
                </c:pt>
                <c:pt idx="68">
                  <c:v>65.0249287749289</c:v>
                </c:pt>
                <c:pt idx="69">
                  <c:v>63.3137464387463</c:v>
                </c:pt>
                <c:pt idx="70">
                  <c:v>61.6025641025641</c:v>
                </c:pt>
                <c:pt idx="71">
                  <c:v>59.8913817663819</c:v>
                </c:pt>
                <c:pt idx="72">
                  <c:v>58.1801994301993</c:v>
                </c:pt>
                <c:pt idx="73">
                  <c:v>56.469017094017</c:v>
                </c:pt>
                <c:pt idx="74">
                  <c:v>54.7578347578348</c:v>
                </c:pt>
                <c:pt idx="75">
                  <c:v>53.0466524216526</c:v>
                </c:pt>
                <c:pt idx="76">
                  <c:v>51.33547008547</c:v>
                </c:pt>
                <c:pt idx="77">
                  <c:v>49.6242877492878</c:v>
                </c:pt>
                <c:pt idx="78">
                  <c:v>47.9131054131056</c:v>
                </c:pt>
                <c:pt idx="79">
                  <c:v>46.201923076923</c:v>
                </c:pt>
                <c:pt idx="80">
                  <c:v>44.4907407407407</c:v>
                </c:pt>
                <c:pt idx="81">
                  <c:v>42.7795584045585</c:v>
                </c:pt>
                <c:pt idx="82">
                  <c:v>41.0683760683759</c:v>
                </c:pt>
                <c:pt idx="83">
                  <c:v>39.3571937321937</c:v>
                </c:pt>
                <c:pt idx="84">
                  <c:v>37.6460113960115</c:v>
                </c:pt>
                <c:pt idx="85">
                  <c:v>35.9348290598289</c:v>
                </c:pt>
                <c:pt idx="86">
                  <c:v>34.2236467236467</c:v>
                </c:pt>
                <c:pt idx="87">
                  <c:v>32.5124643874644</c:v>
                </c:pt>
                <c:pt idx="88">
                  <c:v>30.8012820512819</c:v>
                </c:pt>
                <c:pt idx="89">
                  <c:v>29.0900997150996</c:v>
                </c:pt>
                <c:pt idx="90">
                  <c:v>27.3789173789174</c:v>
                </c:pt>
                <c:pt idx="91">
                  <c:v>25.6677350427352</c:v>
                </c:pt>
                <c:pt idx="92">
                  <c:v>23.9565527065526</c:v>
                </c:pt>
                <c:pt idx="93">
                  <c:v>22.2453703703704</c:v>
                </c:pt>
                <c:pt idx="94">
                  <c:v>20.5341880341882</c:v>
                </c:pt>
                <c:pt idx="95">
                  <c:v>18.8230056980056</c:v>
                </c:pt>
                <c:pt idx="96">
                  <c:v>17.1118233618233</c:v>
                </c:pt>
                <c:pt idx="97">
                  <c:v>15.4006410256411</c:v>
                </c:pt>
                <c:pt idx="98">
                  <c:v>13.6894586894585</c:v>
                </c:pt>
                <c:pt idx="99">
                  <c:v>11.9782763532763</c:v>
                </c:pt>
                <c:pt idx="100">
                  <c:v>10.2670940170941</c:v>
                </c:pt>
                <c:pt idx="101">
                  <c:v>8.5559116809115</c:v>
                </c:pt>
                <c:pt idx="102">
                  <c:v>6.84472934472926</c:v>
                </c:pt>
                <c:pt idx="103">
                  <c:v>5.13354700854704</c:v>
                </c:pt>
                <c:pt idx="104">
                  <c:v>3.42236467236482</c:v>
                </c:pt>
                <c:pt idx="105">
                  <c:v>1.71118233618222</c:v>
                </c:pt>
                <c:pt idx="106">
                  <c:v>0</c:v>
                </c:pt>
                <c:pt idx="107">
                  <c:v>0</c:v>
                </c:pt>
              </c:numCache>
            </c:numRef>
          </c:yVal>
          <c:smooth val="0"/>
        </c:ser>
        <c:axId val="10913200"/>
        <c:axId val="12696818"/>
      </c:scatterChart>
      <c:valAx>
        <c:axId val="10913200"/>
        <c:scaling>
          <c:orientation val="minMax"/>
          <c:min val="-1"/>
        </c:scaling>
        <c:delete val="0"/>
        <c:axPos val="b"/>
        <c:minorGridlines>
          <c:spPr>
            <a:ln w="9360">
              <a:solidFill>
                <a:srgbClr val="b7b7b7"/>
              </a:solidFill>
              <a:round/>
            </a:ln>
          </c:spPr>
        </c:minorGridlines>
        <c:title>
          <c:tx>
            <c:rich>
              <a:bodyPr rot="0"/>
              <a:lstStyle/>
              <a:p>
                <a:pPr>
                  <a:defRPr b="1" lang="en-US" sz="1000" spc="-1" strike="noStrike">
                    <a:solidFill>
                      <a:srgbClr val="000000"/>
                    </a:solidFill>
                    <a:latin typeface="Calibri"/>
                  </a:defRPr>
                </a:pPr>
                <a:r>
                  <a:rPr b="1" lang="en-US" sz="1000" spc="-1" strike="noStrike">
                    <a:solidFill>
                      <a:srgbClr val="000000"/>
                    </a:solidFill>
                    <a:latin typeface="Calibri"/>
                  </a:rPr>
                  <a:t>Time (ms)</a:t>
                </a:r>
              </a:p>
            </c:rich>
          </c:tx>
          <c:layout>
            <c:manualLayout>
              <c:xMode val="edge"/>
              <c:yMode val="edge"/>
              <c:x val="0.448173005219985"/>
              <c:y val="0.905896468974974"/>
            </c:manualLayout>
          </c:layout>
          <c:overlay val="0"/>
          <c:spPr>
            <a:noFill/>
            <a:ln>
              <a:noFill/>
            </a:ln>
          </c:spPr>
        </c:title>
        <c:numFmt formatCode="0.0" sourceLinked="0"/>
        <c:majorTickMark val="out"/>
        <c:minorTickMark val="none"/>
        <c:tickLblPos val="nextTo"/>
        <c:spPr>
          <a:ln w="9360">
            <a:solidFill>
              <a:srgbClr val="878787"/>
            </a:solidFill>
            <a:round/>
          </a:ln>
        </c:spPr>
        <c:txPr>
          <a:bodyPr/>
          <a:lstStyle/>
          <a:p>
            <a:pPr>
              <a:defRPr b="1" sz="1000" spc="-1" strike="noStrike">
                <a:solidFill>
                  <a:srgbClr val="000000"/>
                </a:solidFill>
                <a:latin typeface="Calibri"/>
              </a:defRPr>
            </a:pPr>
          </a:p>
        </c:txPr>
        <c:crossAx val="12696818"/>
        <c:crosses val="autoZero"/>
        <c:crossBetween val="midCat"/>
      </c:valAx>
      <c:valAx>
        <c:axId val="12696818"/>
        <c:scaling>
          <c:orientation val="minMax"/>
          <c:min val="0"/>
        </c:scaling>
        <c:delete val="0"/>
        <c:axPos val="l"/>
        <c:majorGridlines>
          <c:spPr>
            <a:ln w="9360">
              <a:solidFill>
                <a:srgbClr val="878787"/>
              </a:solidFill>
              <a:round/>
            </a:ln>
          </c:spPr>
        </c:majorGridlines>
        <c:minorGridlines>
          <c:spPr>
            <a:ln w="9360">
              <a:solidFill>
                <a:srgbClr val="b7b7b7"/>
              </a:solidFill>
              <a:round/>
            </a:ln>
          </c:spPr>
        </c:minorGridlines>
        <c:title>
          <c:tx>
            <c:rich>
              <a:bodyPr rot="-5400000"/>
              <a:lstStyle/>
              <a:p>
                <a:pPr>
                  <a:defRPr b="1" lang="en-US" sz="1000" spc="-1" strike="noStrike">
                    <a:solidFill>
                      <a:srgbClr val="000000"/>
                    </a:solidFill>
                    <a:latin typeface="Calibri"/>
                  </a:defRPr>
                </a:pPr>
                <a:r>
                  <a:rPr b="1" lang="en-US" sz="1000" spc="-1" strike="noStrike">
                    <a:solidFill>
                      <a:srgbClr val="000000"/>
                    </a:solidFill>
                    <a:latin typeface="Calibri"/>
                  </a:rPr>
                  <a:t>FET Power (W)</a:t>
                </a:r>
              </a:p>
            </c:rich>
          </c:tx>
          <c:layout>
            <c:manualLayout>
              <c:xMode val="edge"/>
              <c:yMode val="edge"/>
              <c:x val="0.0128428204490844"/>
              <c:y val="0.256942063764141"/>
            </c:manualLayout>
          </c:layout>
          <c:overlay val="0"/>
          <c:spPr>
            <a:noFill/>
            <a:ln>
              <a:noFill/>
            </a:ln>
          </c:spPr>
        </c:title>
        <c:numFmt formatCode="General" sourceLinked="0"/>
        <c:majorTickMark val="out"/>
        <c:minorTickMark val="none"/>
        <c:tickLblPos val="nextTo"/>
        <c:spPr>
          <a:ln w="9360">
            <a:solidFill>
              <a:srgbClr val="878787"/>
            </a:solidFill>
            <a:round/>
          </a:ln>
        </c:spPr>
        <c:txPr>
          <a:bodyPr/>
          <a:lstStyle/>
          <a:p>
            <a:pPr>
              <a:defRPr b="1" sz="1000" spc="-1" strike="noStrike">
                <a:solidFill>
                  <a:srgbClr val="000000"/>
                </a:solidFill>
                <a:latin typeface="Calibri"/>
              </a:defRPr>
            </a:pPr>
          </a:p>
        </c:txPr>
        <c:crossAx val="10913200"/>
        <c:crossesAt val="-1"/>
        <c:crossBetween val="midCat"/>
      </c:valAx>
      <c:spPr>
        <a:solidFill>
          <a:srgbClr val="ffffff"/>
        </a:solidFill>
        <a:ln>
          <a:noFill/>
        </a:ln>
      </c:spPr>
    </c:plotArea>
    <c:legend>
      <c:legendPos val="r"/>
      <c:layout>
        <c:manualLayout>
          <c:xMode val="edge"/>
          <c:yMode val="edge"/>
          <c:x val="0.58243391004423"/>
          <c:y val="0.292017392684372"/>
          <c:w val="0.395152130373947"/>
          <c:h val="0.108488307341521"/>
        </c:manualLayout>
      </c:layout>
      <c:overlay val="0"/>
      <c:spPr>
        <a:solidFill>
          <a:srgbClr val="ffffff"/>
        </a:solidFill>
        <a:ln>
          <a:solidFill>
            <a:srgbClr val="000000"/>
          </a:solid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000000"/>
                </a:solidFill>
                <a:latin typeface="Calibri"/>
              </a:defRPr>
            </a:pPr>
            <a:r>
              <a:rPr b="1" lang="en-US" sz="1800" spc="-1" strike="noStrike">
                <a:solidFill>
                  <a:srgbClr val="000000"/>
                </a:solidFill>
                <a:latin typeface="Calibri"/>
              </a:rPr>
              <a:t>Load and FET current vs Vout</a:t>
            </a:r>
          </a:p>
        </c:rich>
      </c:tx>
      <c:overlay val="0"/>
      <c:spPr>
        <a:noFill/>
        <a:ln>
          <a:noFill/>
        </a:ln>
      </c:spPr>
    </c:title>
    <c:autoTitleDeleted val="0"/>
    <c:plotArea>
      <c:layout>
        <c:manualLayout>
          <c:layoutTarget val="inner"/>
          <c:xMode val="edge"/>
          <c:yMode val="edge"/>
          <c:x val="0.202809409026681"/>
          <c:y val="0.141824553718103"/>
          <c:w val="0.699526223921536"/>
          <c:h val="0.711751177308071"/>
        </c:manualLayout>
      </c:layout>
      <c:scatterChart>
        <c:scatterStyle val="line"/>
        <c:varyColors val="0"/>
        <c:ser>
          <c:idx val="0"/>
          <c:order val="0"/>
          <c:tx>
            <c:strRef>
              <c:f>Start_up!$C$7</c:f>
              <c:strCache>
                <c:ptCount val="1"/>
                <c:pt idx="0">
                  <c:v>ILOAD</c:v>
                </c:pt>
              </c:strCache>
            </c:strRef>
          </c:tx>
          <c:spPr>
            <a:solidFill>
              <a:srgbClr val="4a7ebb"/>
            </a:solidFill>
            <a:ln w="28440">
              <a:solidFill>
                <a:srgbClr val="4a7ebb"/>
              </a:solidFill>
              <a:round/>
            </a:ln>
          </c:spPr>
          <c:marker>
            <c:symbol val="none"/>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xVal>
            <c:numRef>
              <c:f>Start_up!$B$10:$B$111</c:f>
              <c:numCache>
                <c:formatCode>General</c:formatCode>
                <c:ptCount val="102"/>
                <c:pt idx="0">
                  <c:v>0</c:v>
                </c:pt>
                <c:pt idx="1">
                  <c:v>0.480769230769231</c:v>
                </c:pt>
                <c:pt idx="2">
                  <c:v>0.961538461538462</c:v>
                </c:pt>
                <c:pt idx="3">
                  <c:v>1.44230769230769</c:v>
                </c:pt>
                <c:pt idx="4">
                  <c:v>1.92307692307692</c:v>
                </c:pt>
                <c:pt idx="5">
                  <c:v>2.40384615384615</c:v>
                </c:pt>
                <c:pt idx="6">
                  <c:v>2.88461538461538</c:v>
                </c:pt>
                <c:pt idx="7">
                  <c:v>3.36538461538462</c:v>
                </c:pt>
                <c:pt idx="8">
                  <c:v>3.84615384615385</c:v>
                </c:pt>
                <c:pt idx="9">
                  <c:v>4.32692307692308</c:v>
                </c:pt>
                <c:pt idx="10">
                  <c:v>4.80769230769231</c:v>
                </c:pt>
                <c:pt idx="11">
                  <c:v>5.28846153846154</c:v>
                </c:pt>
                <c:pt idx="12">
                  <c:v>5.76923076923077</c:v>
                </c:pt>
                <c:pt idx="13">
                  <c:v>6.25</c:v>
                </c:pt>
                <c:pt idx="14">
                  <c:v>6.73076923076923</c:v>
                </c:pt>
                <c:pt idx="15">
                  <c:v>7.21153846153846</c:v>
                </c:pt>
                <c:pt idx="16">
                  <c:v>7.69230769230769</c:v>
                </c:pt>
                <c:pt idx="17">
                  <c:v>8.17307692307692</c:v>
                </c:pt>
                <c:pt idx="18">
                  <c:v>8.65384615384615</c:v>
                </c:pt>
                <c:pt idx="19">
                  <c:v>9.13461538461538</c:v>
                </c:pt>
                <c:pt idx="20">
                  <c:v>9.61538461538462</c:v>
                </c:pt>
                <c:pt idx="21">
                  <c:v>10.0961538461538</c:v>
                </c:pt>
                <c:pt idx="22">
                  <c:v>10.5769230769231</c:v>
                </c:pt>
                <c:pt idx="23">
                  <c:v>11.0576923076923</c:v>
                </c:pt>
                <c:pt idx="24">
                  <c:v>11.5384615384615</c:v>
                </c:pt>
                <c:pt idx="25">
                  <c:v>12.0192307692308</c:v>
                </c:pt>
                <c:pt idx="26">
                  <c:v>12.5</c:v>
                </c:pt>
                <c:pt idx="27">
                  <c:v>12.9807692307692</c:v>
                </c:pt>
                <c:pt idx="28">
                  <c:v>13.4615384615385</c:v>
                </c:pt>
                <c:pt idx="29">
                  <c:v>13.9423076923077</c:v>
                </c:pt>
                <c:pt idx="30">
                  <c:v>14.4230769230769</c:v>
                </c:pt>
                <c:pt idx="31">
                  <c:v>14.9038461538462</c:v>
                </c:pt>
                <c:pt idx="32">
                  <c:v>15.3846153846154</c:v>
                </c:pt>
                <c:pt idx="33">
                  <c:v>15.8653846153846</c:v>
                </c:pt>
                <c:pt idx="34">
                  <c:v>16.3461538461538</c:v>
                </c:pt>
                <c:pt idx="35">
                  <c:v>16.8269230769231</c:v>
                </c:pt>
                <c:pt idx="36">
                  <c:v>17.3076923076923</c:v>
                </c:pt>
                <c:pt idx="37">
                  <c:v>17.7884615384615</c:v>
                </c:pt>
                <c:pt idx="38">
                  <c:v>18.2692307692308</c:v>
                </c:pt>
                <c:pt idx="39">
                  <c:v>18.75</c:v>
                </c:pt>
                <c:pt idx="40">
                  <c:v>19.2307692307692</c:v>
                </c:pt>
                <c:pt idx="41">
                  <c:v>19.7115384615385</c:v>
                </c:pt>
                <c:pt idx="42">
                  <c:v>20.1923076923077</c:v>
                </c:pt>
                <c:pt idx="43">
                  <c:v>20.6730769230769</c:v>
                </c:pt>
                <c:pt idx="44">
                  <c:v>21.1538461538462</c:v>
                </c:pt>
                <c:pt idx="45">
                  <c:v>21.6346153846154</c:v>
                </c:pt>
                <c:pt idx="46">
                  <c:v>22.1153846153846</c:v>
                </c:pt>
                <c:pt idx="47">
                  <c:v>22.5961538461538</c:v>
                </c:pt>
                <c:pt idx="48">
                  <c:v>23.0769230769231</c:v>
                </c:pt>
                <c:pt idx="49">
                  <c:v>23.5576923076923</c:v>
                </c:pt>
                <c:pt idx="50">
                  <c:v>24.0384615384615</c:v>
                </c:pt>
                <c:pt idx="51">
                  <c:v>24.5192307692308</c:v>
                </c:pt>
                <c:pt idx="52">
                  <c:v>25</c:v>
                </c:pt>
                <c:pt idx="53">
                  <c:v>25.4807692307692</c:v>
                </c:pt>
                <c:pt idx="54">
                  <c:v>25.9615384615385</c:v>
                </c:pt>
                <c:pt idx="55">
                  <c:v>26.4423076923077</c:v>
                </c:pt>
                <c:pt idx="56">
                  <c:v>26.9230769230769</c:v>
                </c:pt>
                <c:pt idx="57">
                  <c:v>27.4038461538462</c:v>
                </c:pt>
                <c:pt idx="58">
                  <c:v>27.8846153846154</c:v>
                </c:pt>
                <c:pt idx="59">
                  <c:v>28.3653846153846</c:v>
                </c:pt>
                <c:pt idx="60">
                  <c:v>28.8461538461538</c:v>
                </c:pt>
                <c:pt idx="61">
                  <c:v>29.3269230769231</c:v>
                </c:pt>
                <c:pt idx="62">
                  <c:v>29.8076923076923</c:v>
                </c:pt>
                <c:pt idx="63">
                  <c:v>30.2884615384615</c:v>
                </c:pt>
                <c:pt idx="64">
                  <c:v>30.7692307692308</c:v>
                </c:pt>
                <c:pt idx="65">
                  <c:v>31.25</c:v>
                </c:pt>
                <c:pt idx="66">
                  <c:v>31.7307692307692</c:v>
                </c:pt>
                <c:pt idx="67">
                  <c:v>32.2115384615385</c:v>
                </c:pt>
                <c:pt idx="68">
                  <c:v>32.6923076923077</c:v>
                </c:pt>
                <c:pt idx="69">
                  <c:v>33.1730769230769</c:v>
                </c:pt>
                <c:pt idx="70">
                  <c:v>33.6538461538462</c:v>
                </c:pt>
                <c:pt idx="71">
                  <c:v>34.1346153846154</c:v>
                </c:pt>
                <c:pt idx="72">
                  <c:v>34.6153846153846</c:v>
                </c:pt>
                <c:pt idx="73">
                  <c:v>35.0961538461538</c:v>
                </c:pt>
                <c:pt idx="74">
                  <c:v>35.5769230769231</c:v>
                </c:pt>
                <c:pt idx="75">
                  <c:v>36.0576923076923</c:v>
                </c:pt>
                <c:pt idx="76">
                  <c:v>36.5384615384615</c:v>
                </c:pt>
                <c:pt idx="77">
                  <c:v>37.0192307692308</c:v>
                </c:pt>
                <c:pt idx="78">
                  <c:v>37.5</c:v>
                </c:pt>
                <c:pt idx="79">
                  <c:v>37.9807692307692</c:v>
                </c:pt>
                <c:pt idx="80">
                  <c:v>38.4615384615385</c:v>
                </c:pt>
                <c:pt idx="81">
                  <c:v>38.9423076923077</c:v>
                </c:pt>
                <c:pt idx="82">
                  <c:v>39.4230769230769</c:v>
                </c:pt>
                <c:pt idx="83">
                  <c:v>39.9038461538462</c:v>
                </c:pt>
                <c:pt idx="84">
                  <c:v>40.3846153846154</c:v>
                </c:pt>
                <c:pt idx="85">
                  <c:v>40.8653846153846</c:v>
                </c:pt>
                <c:pt idx="86">
                  <c:v>41.3461538461539</c:v>
                </c:pt>
                <c:pt idx="87">
                  <c:v>41.8269230769231</c:v>
                </c:pt>
                <c:pt idx="88">
                  <c:v>42.3076923076923</c:v>
                </c:pt>
                <c:pt idx="89">
                  <c:v>42.7884615384615</c:v>
                </c:pt>
                <c:pt idx="90">
                  <c:v>43.2692307692308</c:v>
                </c:pt>
                <c:pt idx="91">
                  <c:v>43.75</c:v>
                </c:pt>
                <c:pt idx="92">
                  <c:v>44.2307692307692</c:v>
                </c:pt>
                <c:pt idx="93">
                  <c:v>44.7115384615385</c:v>
                </c:pt>
                <c:pt idx="94">
                  <c:v>45.1923076923077</c:v>
                </c:pt>
                <c:pt idx="95">
                  <c:v>45.6730769230769</c:v>
                </c:pt>
                <c:pt idx="96">
                  <c:v>46.1538461538462</c:v>
                </c:pt>
                <c:pt idx="97">
                  <c:v>46.6346153846154</c:v>
                </c:pt>
                <c:pt idx="98">
                  <c:v>47.1153846153846</c:v>
                </c:pt>
                <c:pt idx="99">
                  <c:v>47.5961538461539</c:v>
                </c:pt>
                <c:pt idx="100">
                  <c:v>48.0769230769231</c:v>
                </c:pt>
                <c:pt idx="101">
                  <c:v>48.5576923076923</c:v>
                </c:pt>
              </c:numCache>
            </c:numRef>
          </c:xVal>
          <c:yVal>
            <c:numRef>
              <c:f>Start_up!$C$10:$C$111</c:f>
              <c:numCache>
                <c:formatCode>General</c:formatCode>
                <c:ptCount val="102"/>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0.3</c:v>
                </c:pt>
                <c:pt idx="21">
                  <c:v>0.3</c:v>
                </c:pt>
                <c:pt idx="22">
                  <c:v>0.3</c:v>
                </c:pt>
                <c:pt idx="23">
                  <c:v>0.3</c:v>
                </c:pt>
                <c:pt idx="24">
                  <c:v>0.3</c:v>
                </c:pt>
                <c:pt idx="25">
                  <c:v>0.3</c:v>
                </c:pt>
                <c:pt idx="26">
                  <c:v>0.3</c:v>
                </c:pt>
                <c:pt idx="27">
                  <c:v>0.3</c:v>
                </c:pt>
                <c:pt idx="28">
                  <c:v>0.3</c:v>
                </c:pt>
                <c:pt idx="29">
                  <c:v>0.3</c:v>
                </c:pt>
                <c:pt idx="30">
                  <c:v>0.3</c:v>
                </c:pt>
                <c:pt idx="31">
                  <c:v>0.3</c:v>
                </c:pt>
                <c:pt idx="32">
                  <c:v>0.3</c:v>
                </c:pt>
                <c:pt idx="33">
                  <c:v>0.3</c:v>
                </c:pt>
                <c:pt idx="34">
                  <c:v>0.3</c:v>
                </c:pt>
                <c:pt idx="35">
                  <c:v>0.3</c:v>
                </c:pt>
                <c:pt idx="36">
                  <c:v>0.3</c:v>
                </c:pt>
                <c:pt idx="37">
                  <c:v>0.3</c:v>
                </c:pt>
                <c:pt idx="38">
                  <c:v>0.3</c:v>
                </c:pt>
                <c:pt idx="39">
                  <c:v>0.3</c:v>
                </c:pt>
                <c:pt idx="40">
                  <c:v>0.3</c:v>
                </c:pt>
                <c:pt idx="41">
                  <c:v>0.3</c:v>
                </c:pt>
                <c:pt idx="42">
                  <c:v>0.3</c:v>
                </c:pt>
                <c:pt idx="43">
                  <c:v>0.3</c:v>
                </c:pt>
                <c:pt idx="44">
                  <c:v>0.3</c:v>
                </c:pt>
                <c:pt idx="45">
                  <c:v>0.3</c:v>
                </c:pt>
                <c:pt idx="46">
                  <c:v>0.3</c:v>
                </c:pt>
                <c:pt idx="47">
                  <c:v>0.3</c:v>
                </c:pt>
                <c:pt idx="48">
                  <c:v>0.3</c:v>
                </c:pt>
                <c:pt idx="49">
                  <c:v>0.3</c:v>
                </c:pt>
                <c:pt idx="50">
                  <c:v>0.3</c:v>
                </c:pt>
                <c:pt idx="51">
                  <c:v>0.3</c:v>
                </c:pt>
                <c:pt idx="52">
                  <c:v>0.3</c:v>
                </c:pt>
                <c:pt idx="53">
                  <c:v>0.3</c:v>
                </c:pt>
                <c:pt idx="54">
                  <c:v>0.3</c:v>
                </c:pt>
                <c:pt idx="55">
                  <c:v>0.3</c:v>
                </c:pt>
                <c:pt idx="56">
                  <c:v>0.3</c:v>
                </c:pt>
                <c:pt idx="57">
                  <c:v>0.3</c:v>
                </c:pt>
                <c:pt idx="58">
                  <c:v>0.3</c:v>
                </c:pt>
                <c:pt idx="59">
                  <c:v>0.3</c:v>
                </c:pt>
                <c:pt idx="60">
                  <c:v>0.3</c:v>
                </c:pt>
                <c:pt idx="61">
                  <c:v>0.3</c:v>
                </c:pt>
                <c:pt idx="62">
                  <c:v>0.3</c:v>
                </c:pt>
                <c:pt idx="63">
                  <c:v>0.3</c:v>
                </c:pt>
                <c:pt idx="64">
                  <c:v>0.3</c:v>
                </c:pt>
                <c:pt idx="65">
                  <c:v>0.3</c:v>
                </c:pt>
                <c:pt idx="66">
                  <c:v>0.3</c:v>
                </c:pt>
                <c:pt idx="67">
                  <c:v>0.3</c:v>
                </c:pt>
                <c:pt idx="68">
                  <c:v>0.3</c:v>
                </c:pt>
                <c:pt idx="69">
                  <c:v>0.3</c:v>
                </c:pt>
                <c:pt idx="70">
                  <c:v>0.3</c:v>
                </c:pt>
                <c:pt idx="71">
                  <c:v>0.3</c:v>
                </c:pt>
                <c:pt idx="72">
                  <c:v>0.3</c:v>
                </c:pt>
                <c:pt idx="73">
                  <c:v>0.3</c:v>
                </c:pt>
                <c:pt idx="74">
                  <c:v>0.3</c:v>
                </c:pt>
                <c:pt idx="75">
                  <c:v>0.3</c:v>
                </c:pt>
                <c:pt idx="76">
                  <c:v>0.3</c:v>
                </c:pt>
                <c:pt idx="77">
                  <c:v>0.3</c:v>
                </c:pt>
                <c:pt idx="78">
                  <c:v>0.3</c:v>
                </c:pt>
                <c:pt idx="79">
                  <c:v>0.3</c:v>
                </c:pt>
                <c:pt idx="80">
                  <c:v>0.3</c:v>
                </c:pt>
                <c:pt idx="81">
                  <c:v>0.3</c:v>
                </c:pt>
                <c:pt idx="82">
                  <c:v>0.3</c:v>
                </c:pt>
                <c:pt idx="83">
                  <c:v>0.3</c:v>
                </c:pt>
                <c:pt idx="84">
                  <c:v>0.3</c:v>
                </c:pt>
                <c:pt idx="85">
                  <c:v>0.3</c:v>
                </c:pt>
                <c:pt idx="86">
                  <c:v>0.3</c:v>
                </c:pt>
                <c:pt idx="87">
                  <c:v>0.3</c:v>
                </c:pt>
                <c:pt idx="88">
                  <c:v>0.3</c:v>
                </c:pt>
                <c:pt idx="89">
                  <c:v>0.3</c:v>
                </c:pt>
                <c:pt idx="90">
                  <c:v>0.3</c:v>
                </c:pt>
                <c:pt idx="91">
                  <c:v>0.3</c:v>
                </c:pt>
                <c:pt idx="92">
                  <c:v>0.3</c:v>
                </c:pt>
                <c:pt idx="93">
                  <c:v>0.3</c:v>
                </c:pt>
                <c:pt idx="94">
                  <c:v>0.3</c:v>
                </c:pt>
                <c:pt idx="95">
                  <c:v>0.3</c:v>
                </c:pt>
                <c:pt idx="96">
                  <c:v>0.3</c:v>
                </c:pt>
                <c:pt idx="97">
                  <c:v>0.3</c:v>
                </c:pt>
                <c:pt idx="98">
                  <c:v>0.3</c:v>
                </c:pt>
                <c:pt idx="99">
                  <c:v>0.3</c:v>
                </c:pt>
                <c:pt idx="100">
                  <c:v>0.3</c:v>
                </c:pt>
                <c:pt idx="101">
                  <c:v>0.3</c:v>
                </c:pt>
              </c:numCache>
            </c:numRef>
          </c:yVal>
          <c:smooth val="1"/>
        </c:ser>
        <c:ser>
          <c:idx val="1"/>
          <c:order val="1"/>
          <c:tx>
            <c:strRef>
              <c:f>Start_up!$G$7</c:f>
              <c:strCache>
                <c:ptCount val="1"/>
                <c:pt idx="0">
                  <c:v>IFET</c:v>
                </c:pt>
              </c:strCache>
            </c:strRef>
          </c:tx>
          <c:spPr>
            <a:solidFill>
              <a:srgbClr val="be4b48"/>
            </a:solidFill>
            <a:ln w="28440">
              <a:solidFill>
                <a:srgbClr val="be4b48"/>
              </a:solidFill>
              <a:round/>
            </a:ln>
          </c:spPr>
          <c:marker>
            <c:symbol val="none"/>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xVal>
            <c:numRef>
              <c:f>Start_up!$B$10:$B$111</c:f>
              <c:numCache>
                <c:formatCode>General</c:formatCode>
                <c:ptCount val="102"/>
                <c:pt idx="0">
                  <c:v>0</c:v>
                </c:pt>
                <c:pt idx="1">
                  <c:v>0.480769230769231</c:v>
                </c:pt>
                <c:pt idx="2">
                  <c:v>0.961538461538462</c:v>
                </c:pt>
                <c:pt idx="3">
                  <c:v>1.44230769230769</c:v>
                </c:pt>
                <c:pt idx="4">
                  <c:v>1.92307692307692</c:v>
                </c:pt>
                <c:pt idx="5">
                  <c:v>2.40384615384615</c:v>
                </c:pt>
                <c:pt idx="6">
                  <c:v>2.88461538461538</c:v>
                </c:pt>
                <c:pt idx="7">
                  <c:v>3.36538461538462</c:v>
                </c:pt>
                <c:pt idx="8">
                  <c:v>3.84615384615385</c:v>
                </c:pt>
                <c:pt idx="9">
                  <c:v>4.32692307692308</c:v>
                </c:pt>
                <c:pt idx="10">
                  <c:v>4.80769230769231</c:v>
                </c:pt>
                <c:pt idx="11">
                  <c:v>5.28846153846154</c:v>
                </c:pt>
                <c:pt idx="12">
                  <c:v>5.76923076923077</c:v>
                </c:pt>
                <c:pt idx="13">
                  <c:v>6.25</c:v>
                </c:pt>
                <c:pt idx="14">
                  <c:v>6.73076923076923</c:v>
                </c:pt>
                <c:pt idx="15">
                  <c:v>7.21153846153846</c:v>
                </c:pt>
                <c:pt idx="16">
                  <c:v>7.69230769230769</c:v>
                </c:pt>
                <c:pt idx="17">
                  <c:v>8.17307692307692</c:v>
                </c:pt>
                <c:pt idx="18">
                  <c:v>8.65384615384615</c:v>
                </c:pt>
                <c:pt idx="19">
                  <c:v>9.13461538461538</c:v>
                </c:pt>
                <c:pt idx="20">
                  <c:v>9.61538461538462</c:v>
                </c:pt>
                <c:pt idx="21">
                  <c:v>10.0961538461538</c:v>
                </c:pt>
                <c:pt idx="22">
                  <c:v>10.5769230769231</c:v>
                </c:pt>
                <c:pt idx="23">
                  <c:v>11.0576923076923</c:v>
                </c:pt>
                <c:pt idx="24">
                  <c:v>11.5384615384615</c:v>
                </c:pt>
                <c:pt idx="25">
                  <c:v>12.0192307692308</c:v>
                </c:pt>
                <c:pt idx="26">
                  <c:v>12.5</c:v>
                </c:pt>
                <c:pt idx="27">
                  <c:v>12.9807692307692</c:v>
                </c:pt>
                <c:pt idx="28">
                  <c:v>13.4615384615385</c:v>
                </c:pt>
                <c:pt idx="29">
                  <c:v>13.9423076923077</c:v>
                </c:pt>
                <c:pt idx="30">
                  <c:v>14.4230769230769</c:v>
                </c:pt>
                <c:pt idx="31">
                  <c:v>14.9038461538462</c:v>
                </c:pt>
                <c:pt idx="32">
                  <c:v>15.3846153846154</c:v>
                </c:pt>
                <c:pt idx="33">
                  <c:v>15.8653846153846</c:v>
                </c:pt>
                <c:pt idx="34">
                  <c:v>16.3461538461538</c:v>
                </c:pt>
                <c:pt idx="35">
                  <c:v>16.8269230769231</c:v>
                </c:pt>
                <c:pt idx="36">
                  <c:v>17.3076923076923</c:v>
                </c:pt>
                <c:pt idx="37">
                  <c:v>17.7884615384615</c:v>
                </c:pt>
                <c:pt idx="38">
                  <c:v>18.2692307692308</c:v>
                </c:pt>
                <c:pt idx="39">
                  <c:v>18.75</c:v>
                </c:pt>
                <c:pt idx="40">
                  <c:v>19.2307692307692</c:v>
                </c:pt>
                <c:pt idx="41">
                  <c:v>19.7115384615385</c:v>
                </c:pt>
                <c:pt idx="42">
                  <c:v>20.1923076923077</c:v>
                </c:pt>
                <c:pt idx="43">
                  <c:v>20.6730769230769</c:v>
                </c:pt>
                <c:pt idx="44">
                  <c:v>21.1538461538462</c:v>
                </c:pt>
                <c:pt idx="45">
                  <c:v>21.6346153846154</c:v>
                </c:pt>
                <c:pt idx="46">
                  <c:v>22.1153846153846</c:v>
                </c:pt>
                <c:pt idx="47">
                  <c:v>22.5961538461538</c:v>
                </c:pt>
                <c:pt idx="48">
                  <c:v>23.0769230769231</c:v>
                </c:pt>
                <c:pt idx="49">
                  <c:v>23.5576923076923</c:v>
                </c:pt>
                <c:pt idx="50">
                  <c:v>24.0384615384615</c:v>
                </c:pt>
                <c:pt idx="51">
                  <c:v>24.5192307692308</c:v>
                </c:pt>
                <c:pt idx="52">
                  <c:v>25</c:v>
                </c:pt>
                <c:pt idx="53">
                  <c:v>25.4807692307692</c:v>
                </c:pt>
                <c:pt idx="54">
                  <c:v>25.9615384615385</c:v>
                </c:pt>
                <c:pt idx="55">
                  <c:v>26.4423076923077</c:v>
                </c:pt>
                <c:pt idx="56">
                  <c:v>26.9230769230769</c:v>
                </c:pt>
                <c:pt idx="57">
                  <c:v>27.4038461538462</c:v>
                </c:pt>
                <c:pt idx="58">
                  <c:v>27.8846153846154</c:v>
                </c:pt>
                <c:pt idx="59">
                  <c:v>28.3653846153846</c:v>
                </c:pt>
                <c:pt idx="60">
                  <c:v>28.8461538461538</c:v>
                </c:pt>
                <c:pt idx="61">
                  <c:v>29.3269230769231</c:v>
                </c:pt>
                <c:pt idx="62">
                  <c:v>29.8076923076923</c:v>
                </c:pt>
                <c:pt idx="63">
                  <c:v>30.2884615384615</c:v>
                </c:pt>
                <c:pt idx="64">
                  <c:v>30.7692307692308</c:v>
                </c:pt>
                <c:pt idx="65">
                  <c:v>31.25</c:v>
                </c:pt>
                <c:pt idx="66">
                  <c:v>31.7307692307692</c:v>
                </c:pt>
                <c:pt idx="67">
                  <c:v>32.2115384615385</c:v>
                </c:pt>
                <c:pt idx="68">
                  <c:v>32.6923076923077</c:v>
                </c:pt>
                <c:pt idx="69">
                  <c:v>33.1730769230769</c:v>
                </c:pt>
                <c:pt idx="70">
                  <c:v>33.6538461538462</c:v>
                </c:pt>
                <c:pt idx="71">
                  <c:v>34.1346153846154</c:v>
                </c:pt>
                <c:pt idx="72">
                  <c:v>34.6153846153846</c:v>
                </c:pt>
                <c:pt idx="73">
                  <c:v>35.0961538461538</c:v>
                </c:pt>
                <c:pt idx="74">
                  <c:v>35.5769230769231</c:v>
                </c:pt>
                <c:pt idx="75">
                  <c:v>36.0576923076923</c:v>
                </c:pt>
                <c:pt idx="76">
                  <c:v>36.5384615384615</c:v>
                </c:pt>
                <c:pt idx="77">
                  <c:v>37.0192307692308</c:v>
                </c:pt>
                <c:pt idx="78">
                  <c:v>37.5</c:v>
                </c:pt>
                <c:pt idx="79">
                  <c:v>37.9807692307692</c:v>
                </c:pt>
                <c:pt idx="80">
                  <c:v>38.4615384615385</c:v>
                </c:pt>
                <c:pt idx="81">
                  <c:v>38.9423076923077</c:v>
                </c:pt>
                <c:pt idx="82">
                  <c:v>39.4230769230769</c:v>
                </c:pt>
                <c:pt idx="83">
                  <c:v>39.9038461538462</c:v>
                </c:pt>
                <c:pt idx="84">
                  <c:v>40.3846153846154</c:v>
                </c:pt>
                <c:pt idx="85">
                  <c:v>40.8653846153846</c:v>
                </c:pt>
                <c:pt idx="86">
                  <c:v>41.3461538461539</c:v>
                </c:pt>
                <c:pt idx="87">
                  <c:v>41.8269230769231</c:v>
                </c:pt>
                <c:pt idx="88">
                  <c:v>42.3076923076923</c:v>
                </c:pt>
                <c:pt idx="89">
                  <c:v>42.7884615384615</c:v>
                </c:pt>
                <c:pt idx="90">
                  <c:v>43.2692307692308</c:v>
                </c:pt>
                <c:pt idx="91">
                  <c:v>43.75</c:v>
                </c:pt>
                <c:pt idx="92">
                  <c:v>44.2307692307692</c:v>
                </c:pt>
                <c:pt idx="93">
                  <c:v>44.7115384615385</c:v>
                </c:pt>
                <c:pt idx="94">
                  <c:v>45.1923076923077</c:v>
                </c:pt>
                <c:pt idx="95">
                  <c:v>45.6730769230769</c:v>
                </c:pt>
                <c:pt idx="96">
                  <c:v>46.1538461538462</c:v>
                </c:pt>
                <c:pt idx="97">
                  <c:v>46.6346153846154</c:v>
                </c:pt>
                <c:pt idx="98">
                  <c:v>47.1153846153846</c:v>
                </c:pt>
                <c:pt idx="99">
                  <c:v>47.5961538461539</c:v>
                </c:pt>
                <c:pt idx="100">
                  <c:v>48.0769230769231</c:v>
                </c:pt>
                <c:pt idx="101">
                  <c:v>48.5576923076923</c:v>
                </c:pt>
              </c:numCache>
            </c:numRef>
          </c:xVal>
          <c:yVal>
            <c:numRef>
              <c:f>Start_up!$G$10:$G$112</c:f>
              <c:numCache>
                <c:formatCode>General</c:formatCode>
                <c:ptCount val="103"/>
                <c:pt idx="0">
                  <c:v>3.55925925925926</c:v>
                </c:pt>
                <c:pt idx="1">
                  <c:v>3.55925925925926</c:v>
                </c:pt>
                <c:pt idx="2">
                  <c:v>3.55925925925926</c:v>
                </c:pt>
                <c:pt idx="3">
                  <c:v>3.55925925925926</c:v>
                </c:pt>
                <c:pt idx="4">
                  <c:v>3.55925925925926</c:v>
                </c:pt>
                <c:pt idx="5">
                  <c:v>3.55925925925926</c:v>
                </c:pt>
                <c:pt idx="6">
                  <c:v>3.55925925925926</c:v>
                </c:pt>
                <c:pt idx="7">
                  <c:v>3.55925925925926</c:v>
                </c:pt>
                <c:pt idx="8">
                  <c:v>3.55925925925926</c:v>
                </c:pt>
                <c:pt idx="9">
                  <c:v>3.55925925925926</c:v>
                </c:pt>
                <c:pt idx="10">
                  <c:v>3.55925925925926</c:v>
                </c:pt>
                <c:pt idx="11">
                  <c:v>3.55925925925926</c:v>
                </c:pt>
                <c:pt idx="12">
                  <c:v>3.55925925925926</c:v>
                </c:pt>
                <c:pt idx="13">
                  <c:v>3.55925925925926</c:v>
                </c:pt>
                <c:pt idx="14">
                  <c:v>3.55925925925926</c:v>
                </c:pt>
                <c:pt idx="15">
                  <c:v>3.55925925925926</c:v>
                </c:pt>
                <c:pt idx="16">
                  <c:v>3.55925925925926</c:v>
                </c:pt>
                <c:pt idx="17">
                  <c:v>3.55925925925926</c:v>
                </c:pt>
                <c:pt idx="18">
                  <c:v>3.55925925925926</c:v>
                </c:pt>
                <c:pt idx="19">
                  <c:v>3.55925925925926</c:v>
                </c:pt>
                <c:pt idx="20">
                  <c:v>3.55925925925926</c:v>
                </c:pt>
                <c:pt idx="21">
                  <c:v>3.55925925925926</c:v>
                </c:pt>
                <c:pt idx="22">
                  <c:v>3.55925925925926</c:v>
                </c:pt>
                <c:pt idx="23">
                  <c:v>3.55925925925926</c:v>
                </c:pt>
                <c:pt idx="24">
                  <c:v>3.55925925925926</c:v>
                </c:pt>
                <c:pt idx="25">
                  <c:v>3.55925925925926</c:v>
                </c:pt>
                <c:pt idx="26">
                  <c:v>3.55925925925926</c:v>
                </c:pt>
                <c:pt idx="27">
                  <c:v>3.55925925925926</c:v>
                </c:pt>
                <c:pt idx="28">
                  <c:v>3.55925925925926</c:v>
                </c:pt>
                <c:pt idx="29">
                  <c:v>3.55925925925926</c:v>
                </c:pt>
                <c:pt idx="30">
                  <c:v>3.55925925925926</c:v>
                </c:pt>
                <c:pt idx="31">
                  <c:v>3.55925925925926</c:v>
                </c:pt>
                <c:pt idx="32">
                  <c:v>3.55925925925926</c:v>
                </c:pt>
                <c:pt idx="33">
                  <c:v>3.55925925925926</c:v>
                </c:pt>
                <c:pt idx="34">
                  <c:v>3.55925925925926</c:v>
                </c:pt>
                <c:pt idx="35">
                  <c:v>3.55925925925926</c:v>
                </c:pt>
                <c:pt idx="36">
                  <c:v>3.55925925925926</c:v>
                </c:pt>
                <c:pt idx="37">
                  <c:v>3.55925925925926</c:v>
                </c:pt>
                <c:pt idx="38">
                  <c:v>3.55925925925926</c:v>
                </c:pt>
                <c:pt idx="39">
                  <c:v>3.55925925925926</c:v>
                </c:pt>
                <c:pt idx="40">
                  <c:v>3.55925925925926</c:v>
                </c:pt>
                <c:pt idx="41">
                  <c:v>3.55925925925926</c:v>
                </c:pt>
                <c:pt idx="42">
                  <c:v>3.55925925925926</c:v>
                </c:pt>
                <c:pt idx="43">
                  <c:v>3.55925925925926</c:v>
                </c:pt>
                <c:pt idx="44">
                  <c:v>3.55925925925926</c:v>
                </c:pt>
                <c:pt idx="45">
                  <c:v>3.55925925925926</c:v>
                </c:pt>
                <c:pt idx="46">
                  <c:v>3.55925925925926</c:v>
                </c:pt>
                <c:pt idx="47">
                  <c:v>3.55925925925926</c:v>
                </c:pt>
                <c:pt idx="48">
                  <c:v>3.55925925925926</c:v>
                </c:pt>
                <c:pt idx="49">
                  <c:v>3.55925925925926</c:v>
                </c:pt>
                <c:pt idx="50">
                  <c:v>3.55925925925926</c:v>
                </c:pt>
                <c:pt idx="51">
                  <c:v>3.55925925925926</c:v>
                </c:pt>
                <c:pt idx="52">
                  <c:v>3.55925925925926</c:v>
                </c:pt>
                <c:pt idx="53">
                  <c:v>3.55925925925926</c:v>
                </c:pt>
                <c:pt idx="54">
                  <c:v>3.55925925925926</c:v>
                </c:pt>
                <c:pt idx="55">
                  <c:v>3.55925925925926</c:v>
                </c:pt>
                <c:pt idx="56">
                  <c:v>3.55925925925926</c:v>
                </c:pt>
                <c:pt idx="57">
                  <c:v>3.55925925925926</c:v>
                </c:pt>
                <c:pt idx="58">
                  <c:v>3.55925925925926</c:v>
                </c:pt>
                <c:pt idx="59">
                  <c:v>3.55925925925926</c:v>
                </c:pt>
                <c:pt idx="60">
                  <c:v>3.55925925925926</c:v>
                </c:pt>
                <c:pt idx="61">
                  <c:v>3.55925925925926</c:v>
                </c:pt>
                <c:pt idx="62">
                  <c:v>3.55925925925926</c:v>
                </c:pt>
                <c:pt idx="63">
                  <c:v>3.55925925925926</c:v>
                </c:pt>
                <c:pt idx="64">
                  <c:v>3.55925925925926</c:v>
                </c:pt>
                <c:pt idx="65">
                  <c:v>3.55925925925926</c:v>
                </c:pt>
                <c:pt idx="66">
                  <c:v>3.55925925925926</c:v>
                </c:pt>
                <c:pt idx="67">
                  <c:v>3.55925925925926</c:v>
                </c:pt>
                <c:pt idx="68">
                  <c:v>3.55925925925926</c:v>
                </c:pt>
                <c:pt idx="69">
                  <c:v>3.55925925925926</c:v>
                </c:pt>
                <c:pt idx="70">
                  <c:v>3.55925925925926</c:v>
                </c:pt>
                <c:pt idx="71">
                  <c:v>3.55925925925926</c:v>
                </c:pt>
                <c:pt idx="72">
                  <c:v>3.55925925925926</c:v>
                </c:pt>
                <c:pt idx="73">
                  <c:v>3.55925925925926</c:v>
                </c:pt>
                <c:pt idx="74">
                  <c:v>3.55925925925926</c:v>
                </c:pt>
                <c:pt idx="75">
                  <c:v>3.55925925925926</c:v>
                </c:pt>
                <c:pt idx="76">
                  <c:v>3.55925925925926</c:v>
                </c:pt>
                <c:pt idx="77">
                  <c:v>3.55925925925926</c:v>
                </c:pt>
                <c:pt idx="78">
                  <c:v>3.55925925925926</c:v>
                </c:pt>
                <c:pt idx="79">
                  <c:v>3.55925925925926</c:v>
                </c:pt>
                <c:pt idx="80">
                  <c:v>3.55925925925926</c:v>
                </c:pt>
                <c:pt idx="81">
                  <c:v>3.55925925925926</c:v>
                </c:pt>
                <c:pt idx="82">
                  <c:v>3.55925925925926</c:v>
                </c:pt>
                <c:pt idx="83">
                  <c:v>3.55925925925926</c:v>
                </c:pt>
                <c:pt idx="84">
                  <c:v>3.55925925925926</c:v>
                </c:pt>
                <c:pt idx="85">
                  <c:v>3.55925925925926</c:v>
                </c:pt>
                <c:pt idx="86">
                  <c:v>3.55925925925926</c:v>
                </c:pt>
                <c:pt idx="87">
                  <c:v>3.55925925925926</c:v>
                </c:pt>
                <c:pt idx="88">
                  <c:v>3.55925925925926</c:v>
                </c:pt>
                <c:pt idx="89">
                  <c:v>3.55925925925926</c:v>
                </c:pt>
                <c:pt idx="90">
                  <c:v>3.55925925925926</c:v>
                </c:pt>
                <c:pt idx="91">
                  <c:v>3.55925925925926</c:v>
                </c:pt>
                <c:pt idx="92">
                  <c:v>3.55925925925926</c:v>
                </c:pt>
                <c:pt idx="93">
                  <c:v>3.55925925925926</c:v>
                </c:pt>
                <c:pt idx="94">
                  <c:v>3.55925925925926</c:v>
                </c:pt>
                <c:pt idx="95">
                  <c:v>3.55925925925926</c:v>
                </c:pt>
                <c:pt idx="96">
                  <c:v>3.55925925925926</c:v>
                </c:pt>
                <c:pt idx="97">
                  <c:v>3.55925925925926</c:v>
                </c:pt>
                <c:pt idx="98">
                  <c:v>3.55925925925926</c:v>
                </c:pt>
                <c:pt idx="99">
                  <c:v>3.55925925925926</c:v>
                </c:pt>
                <c:pt idx="100">
                  <c:v>3.55925925925926</c:v>
                </c:pt>
                <c:pt idx="101">
                  <c:v>3.55925925925926</c:v>
                </c:pt>
                <c:pt idx="102">
                  <c:v>3.55925925925926</c:v>
                </c:pt>
              </c:numCache>
            </c:numRef>
          </c:yVal>
          <c:smooth val="1"/>
        </c:ser>
        <c:axId val="56744618"/>
        <c:axId val="16600157"/>
      </c:scatterChart>
      <c:valAx>
        <c:axId val="56744618"/>
        <c:scaling>
          <c:orientation val="minMax"/>
        </c:scaling>
        <c:delete val="0"/>
        <c:axPos val="b"/>
        <c:title>
          <c:tx>
            <c:rich>
              <a:bodyPr rot="0"/>
              <a:lstStyle/>
              <a:p>
                <a:pPr>
                  <a:defRPr b="1" lang="en-US" sz="1000" spc="-1" strike="noStrike">
                    <a:solidFill>
                      <a:srgbClr val="000000"/>
                    </a:solidFill>
                    <a:latin typeface="Calibri"/>
                  </a:defRPr>
                </a:pPr>
                <a:r>
                  <a:rPr b="1" lang="en-US" sz="1000" spc="-1" strike="noStrike">
                    <a:solidFill>
                      <a:srgbClr val="000000"/>
                    </a:solidFill>
                    <a:latin typeface="Calibri"/>
                  </a:rPr>
                  <a:t>Output Voltage (V)</a:t>
                </a:r>
              </a:p>
            </c:rich>
          </c:tx>
          <c:overlay val="0"/>
          <c:spPr>
            <a:noFill/>
            <a:ln>
              <a:noFill/>
            </a:ln>
          </c:spPr>
        </c:title>
        <c:numFmt formatCode="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6600157"/>
        <c:crosses val="autoZero"/>
        <c:crossBetween val="midCat"/>
      </c:valAx>
      <c:valAx>
        <c:axId val="16600157"/>
        <c:scaling>
          <c:orientation val="minMax"/>
          <c:min val="0"/>
        </c:scaling>
        <c:delete val="0"/>
        <c:axPos val="l"/>
        <c:majorGridlines>
          <c:spPr>
            <a:ln w="9360">
              <a:solidFill>
                <a:srgbClr val="878787"/>
              </a:solidFill>
              <a:round/>
            </a:ln>
          </c:spPr>
        </c:majorGridlines>
        <c:title>
          <c:tx>
            <c:rich>
              <a:bodyPr rot="-5400000"/>
              <a:lstStyle/>
              <a:p>
                <a:pPr>
                  <a:defRPr b="1" lang="en-US" sz="1000" spc="-1" strike="noStrike">
                    <a:solidFill>
                      <a:srgbClr val="000000"/>
                    </a:solidFill>
                    <a:latin typeface="Calibri"/>
                  </a:defRPr>
                </a:pPr>
                <a:r>
                  <a:rPr b="1" lang="en-US" sz="1000" spc="-1" strike="noStrike">
                    <a:solidFill>
                      <a:srgbClr val="000000"/>
                    </a:solidFill>
                    <a:latin typeface="Calibri"/>
                  </a:rPr>
                  <a:t>Current (A)</a:t>
                </a:r>
              </a:p>
            </c:rich>
          </c:tx>
          <c:overlay val="0"/>
          <c:spPr>
            <a:noFill/>
            <a:ln>
              <a:noFill/>
            </a:ln>
          </c:spPr>
        </c:title>
        <c:numFmt formatCode="0.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6744618"/>
        <c:crosses val="autoZero"/>
        <c:crossBetween val="midCat"/>
      </c:valAx>
      <c:spPr>
        <a:solidFill>
          <a:srgbClr val="ffffff"/>
        </a:solidFill>
        <a:ln>
          <a:noFill/>
        </a:ln>
      </c:spPr>
    </c:plotArea>
    <c:legend>
      <c:legendPos val="r"/>
      <c:layout>
        <c:manualLayout>
          <c:xMode val="edge"/>
          <c:yMode val="edge"/>
          <c:x val="0.346242523587897"/>
          <c:y val="0.244791264891172"/>
          <c:w val="0.214622300929856"/>
          <c:h val="0.167924439552583"/>
        </c:manualLayout>
      </c:layout>
      <c:overlay val="0"/>
      <c:spPr>
        <a:solidFill>
          <a:srgbClr val="ffffff"/>
        </a:solidFill>
        <a:ln>
          <a:solidFill>
            <a:srgbClr val="000000"/>
          </a:solid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wmf"/>
</Relationships>
</file>

<file path=xl/drawings/_rels/drawing2.xml.rels><?xml version="1.0" encoding="UTF-8"?>
<Relationships xmlns="http://schemas.openxmlformats.org/package/2006/relationships"><Relationship Id="rId1" Type="http://schemas.openxmlformats.org/officeDocument/2006/relationships/hyperlink" Target="http://www.ti.com" TargetMode="External"/><Relationship Id="rId2" Type="http://schemas.openxmlformats.org/officeDocument/2006/relationships/image" Target="../media/image2.png"/><Relationship Id="rId3" Type="http://schemas.openxmlformats.org/officeDocument/2006/relationships/image" Target="../media/image3.wmf"/><Relationship Id="rId4" Type="http://schemas.openxmlformats.org/officeDocument/2006/relationships/image" Target="../media/image4.png"/><Relationship Id="rId5" Type="http://schemas.openxmlformats.org/officeDocument/2006/relationships/chart" Target="../charts/chart1.xml"/><Relationship Id="rId6" Type="http://schemas.openxmlformats.org/officeDocument/2006/relationships/chart" Target="../charts/chart2.xml"/><Relationship Id="rId7" Type="http://schemas.openxmlformats.org/officeDocument/2006/relationships/chart" Target="../charts/chart3.xml"/><Relationship Id="rId8" Type="http://schemas.openxmlformats.org/officeDocument/2006/relationships/image" Target="../media/image5.png"/><Relationship Id="rId9" Type="http://schemas.openxmlformats.org/officeDocument/2006/relationships/image" Target="../media/image6.png"/><Relationship Id="rId10" Type="http://schemas.openxmlformats.org/officeDocument/2006/relationships/hyperlink" Target="http://www.ti.com/power-management/protection-monitoring-hot-swap/controllers/support-training.html#videos" TargetMode="External"/><Relationship Id="rId11" Type="http://schemas.openxmlformats.org/officeDocument/2006/relationships/image" Target="../media/image7.png"/><Relationship Id="rId12" Type="http://schemas.openxmlformats.org/officeDocument/2006/relationships/hyperlink" Target="https://training.ti.com/node/1133677" TargetMode="External"/><Relationship Id="rId13" Type="http://schemas.openxmlformats.org/officeDocument/2006/relationships/image" Target="../media/image8.png"/><Relationship Id="rId14" Type="http://schemas.openxmlformats.org/officeDocument/2006/relationships/hyperlink" Target="https://training.ti.com/node/1133677" TargetMode="External"/><Relationship Id="rId15" Type="http://schemas.openxmlformats.org/officeDocument/2006/relationships/image" Target="../media/image9.png"/><Relationship Id="rId16" Type="http://schemas.openxmlformats.org/officeDocument/2006/relationships/hyperlink" Target="https://training.ti.com/node/1133673" TargetMode="External"/><Relationship Id="rId17" Type="http://schemas.openxmlformats.org/officeDocument/2006/relationships/image" Target="../media/image10.png"/><Relationship Id="rId18" Type="http://schemas.openxmlformats.org/officeDocument/2006/relationships/hyperlink" Target="https://training.ti.com/node/1133664" TargetMode="External"/><Relationship Id="rId19" Type="http://schemas.openxmlformats.org/officeDocument/2006/relationships/image" Target="../media/image11.png"/><Relationship Id="rId20" Type="http://schemas.openxmlformats.org/officeDocument/2006/relationships/hyperlink" Target="https://training.ti.com/node/1133681" TargetMode="External"/><Relationship Id="rId21" Type="http://schemas.openxmlformats.org/officeDocument/2006/relationships/image" Target="../media/image12.png"/>
</Relationships>
</file>

<file path=xl/drawings/_rels/drawing3.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1</xdr:row>
      <xdr:rowOff>95400</xdr:rowOff>
    </xdr:from>
    <xdr:to>
      <xdr:col>15</xdr:col>
      <xdr:colOff>579960</xdr:colOff>
      <xdr:row>5</xdr:row>
      <xdr:rowOff>27720</xdr:rowOff>
    </xdr:to>
    <xdr:sp>
      <xdr:nvSpPr>
        <xdr:cNvPr id="0" name="CustomShape 1"/>
        <xdr:cNvSpPr/>
      </xdr:nvSpPr>
      <xdr:spPr>
        <a:xfrm>
          <a:off x="0" y="262080"/>
          <a:ext cx="9780840" cy="923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114480</xdr:colOff>
      <xdr:row>2</xdr:row>
      <xdr:rowOff>0</xdr:rowOff>
    </xdr:from>
    <xdr:to>
      <xdr:col>3</xdr:col>
      <xdr:colOff>611280</xdr:colOff>
      <xdr:row>4</xdr:row>
      <xdr:rowOff>103680</xdr:rowOff>
    </xdr:to>
    <xdr:pic>
      <xdr:nvPicPr>
        <xdr:cNvPr id="1" name="Picture 2" descr=""/>
        <xdr:cNvPicPr/>
      </xdr:nvPicPr>
      <xdr:blipFill>
        <a:blip r:embed="rId1"/>
        <a:stretch/>
      </xdr:blipFill>
      <xdr:spPr>
        <a:xfrm>
          <a:off x="114480" y="328680"/>
          <a:ext cx="2336760" cy="7704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26640</xdr:colOff>
      <xdr:row>1</xdr:row>
      <xdr:rowOff>104760</xdr:rowOff>
    </xdr:from>
    <xdr:to>
      <xdr:col>7</xdr:col>
      <xdr:colOff>18000</xdr:colOff>
      <xdr:row>7</xdr:row>
      <xdr:rowOff>33120</xdr:rowOff>
    </xdr:to>
    <xdr:sp>
      <xdr:nvSpPr>
        <xdr:cNvPr id="2" name="CustomShape 1"/>
        <xdr:cNvSpPr/>
      </xdr:nvSpPr>
      <xdr:spPr>
        <a:xfrm>
          <a:off x="26640" y="876240"/>
          <a:ext cx="8217720" cy="937800"/>
        </a:xfrm>
        <a:prstGeom prst="rect">
          <a:avLst/>
        </a:prstGeom>
        <a:solidFill>
          <a:srgbClr val="ffffff"/>
        </a:solidFill>
        <a:ln w="9360">
          <a:solidFill>
            <a:srgbClr val="000000"/>
          </a:solidFill>
          <a:miter/>
        </a:ln>
      </xdr:spPr>
      <xdr:style>
        <a:lnRef idx="0"/>
        <a:fillRef idx="0"/>
        <a:effectRef idx="0"/>
        <a:fontRef idx="minor"/>
      </xdr:style>
      <xdr:txBody>
        <a:bodyPr lIns="36720" rIns="0" tIns="23040" bIns="0">
          <a:noAutofit/>
        </a:bodyPr>
        <a:p>
          <a:pPr>
            <a:lnSpc>
              <a:spcPct val="100000"/>
            </a:lnSpc>
          </a:pPr>
          <a:r>
            <a:rPr b="1" lang="en-US" sz="1200" spc="-1" strike="noStrike" u="sng">
              <a:solidFill>
                <a:srgbClr val="ff0000"/>
              </a:solidFill>
              <a:uFillTx/>
              <a:latin typeface="Arial"/>
            </a:rPr>
            <a:t>Note</a:t>
          </a:r>
          <a:r>
            <a:rPr b="1" lang="en-US" sz="1200" spc="-1" strike="noStrike">
              <a:solidFill>
                <a:srgbClr val="ff0000"/>
              </a:solidFill>
              <a:latin typeface="Arial"/>
            </a:rPr>
            <a:t>:</a:t>
          </a:r>
          <a:r>
            <a:rPr b="0" lang="en-US" sz="1200" spc="-1" strike="noStrike">
              <a:solidFill>
                <a:srgbClr val="ff0000"/>
              </a:solidFill>
              <a:latin typeface="Arial"/>
            </a:rPr>
            <a:t> The components calculated in this worksheet are reasonable starting values for a design using the TPS249x and TPS248x series of Hot-swap Controller. As such, they are not optimized for any particular performance attribute. Tolerances of the components are not included in the calculations. See the Instructions tab for additional information.</a:t>
          </a:r>
          <a:endParaRPr b="0" lang="en-US" sz="1200" spc="-1" strike="noStrike">
            <a:latin typeface="Times New Roman"/>
          </a:endParaRPr>
        </a:p>
        <a:p>
          <a:pPr>
            <a:lnSpc>
              <a:spcPct val="100000"/>
            </a:lnSpc>
          </a:pPr>
          <a:r>
            <a:rPr b="1" lang="en-US" sz="1200" spc="-1" strike="noStrike">
              <a:solidFill>
                <a:srgbClr val="000000"/>
              </a:solidFill>
              <a:latin typeface="Arial"/>
            </a:rPr>
            <a:t>Consult the TPS249x datasheet for more detail.</a:t>
          </a:r>
          <a:endParaRPr b="0" lang="en-US" sz="1200" spc="-1" strike="noStrike">
            <a:latin typeface="Times New Roman"/>
          </a:endParaRPr>
        </a:p>
      </xdr:txBody>
    </xdr:sp>
    <xdr:clientData/>
  </xdr:twoCellAnchor>
  <xdr:twoCellAnchor editAs="twoCell">
    <xdr:from>
      <xdr:col>41</xdr:col>
      <xdr:colOff>0</xdr:colOff>
      <xdr:row>59</xdr:row>
      <xdr:rowOff>0</xdr:rowOff>
    </xdr:from>
    <xdr:to>
      <xdr:col>41</xdr:col>
      <xdr:colOff>360</xdr:colOff>
      <xdr:row>66</xdr:row>
      <xdr:rowOff>189720</xdr:rowOff>
    </xdr:to>
    <xdr:sp>
      <xdr:nvSpPr>
        <xdr:cNvPr id="3" name="CustomShape 1"/>
        <xdr:cNvSpPr/>
      </xdr:nvSpPr>
      <xdr:spPr>
        <a:xfrm>
          <a:off x="13308840" y="12424320"/>
          <a:ext cx="360" cy="1523160"/>
        </a:xfrm>
        <a:prstGeom prst="rect">
          <a:avLst/>
        </a:prstGeom>
        <a:solidFill>
          <a:srgbClr val="ffffff"/>
        </a:solidFill>
        <a:ln w="9360">
          <a:solidFill>
            <a:srgbClr val="000000"/>
          </a:solidFill>
          <a:miter/>
        </a:ln>
      </xdr:spPr>
      <xdr:style>
        <a:lnRef idx="0"/>
        <a:fillRef idx="0"/>
        <a:effectRef idx="0"/>
        <a:fontRef idx="minor"/>
      </xdr:style>
      <xdr:txBody>
        <a:bodyPr lIns="27360" rIns="0" tIns="23040" bIns="0">
          <a:noAutofit/>
        </a:bodyPr>
        <a:p>
          <a:pPr>
            <a:lnSpc>
              <a:spcPct val="100000"/>
            </a:lnSpc>
          </a:pPr>
          <a:r>
            <a:rPr b="0" lang="en-US" sz="1000" spc="-1" strike="noStrike">
              <a:solidFill>
                <a:srgbClr val="000000"/>
              </a:solidFill>
              <a:latin typeface="Arial"/>
            </a:rPr>
            <a:t>Max R</a:t>
          </a:r>
          <a:r>
            <a:rPr b="0" lang="en-US" sz="1000" spc="-1" strike="noStrike" baseline="-25000">
              <a:solidFill>
                <a:srgbClr val="000000"/>
              </a:solidFill>
              <a:latin typeface="Arial"/>
            </a:rPr>
            <a:t>S</a:t>
          </a:r>
          <a:r>
            <a:rPr b="0" lang="en-US" sz="1000" spc="-1" strike="noStrike">
              <a:solidFill>
                <a:srgbClr val="000000"/>
              </a:solidFill>
              <a:latin typeface="Arial"/>
            </a:rPr>
            <a:t> = </a:t>
          </a:r>
          <a:r>
            <a:rPr b="0" lang="en-US" sz="1000" spc="-1" strike="noStrike" u="sng">
              <a:solidFill>
                <a:srgbClr val="000000"/>
              </a:solidFill>
              <a:uFillTx/>
              <a:latin typeface="Arial"/>
            </a:rPr>
            <a:t>            45 mV                 </a:t>
          </a:r>
          <a:endParaRPr b="0" lang="en-US" sz="1000" spc="-1" strike="noStrike">
            <a:latin typeface="Times New Roman"/>
          </a:endParaRPr>
        </a:p>
        <a:p>
          <a:pPr>
            <a:lnSpc>
              <a:spcPct val="100000"/>
            </a:lnSpc>
          </a:pPr>
          <a:r>
            <a:rPr b="0" lang="en-US" sz="1000" spc="-1" strike="noStrike">
              <a:solidFill>
                <a:srgbClr val="000000"/>
              </a:solidFill>
              <a:latin typeface="Arial"/>
            </a:rPr>
            <a:t>                </a:t>
          </a:r>
          <a:r>
            <a:rPr b="0" lang="en-US" sz="1000" spc="-1" strike="noStrike">
              <a:solidFill>
                <a:srgbClr val="000000"/>
              </a:solidFill>
              <a:latin typeface="Arial"/>
            </a:rPr>
            <a:t>(Max Load Current x 1.01)</a:t>
          </a:r>
          <a:endParaRPr b="0" lang="en-US" sz="1000" spc="-1" strike="noStrike">
            <a:latin typeface="Times New Roman"/>
          </a:endParaRPr>
        </a:p>
        <a:p>
          <a:pPr>
            <a:lnSpc>
              <a:spcPct val="100000"/>
            </a:lnSpc>
          </a:pPr>
          <a:endParaRPr b="0" lang="en-US" sz="1000" spc="-1" strike="noStrike">
            <a:latin typeface="Times New Roman"/>
          </a:endParaRPr>
        </a:p>
        <a:p>
          <a:pPr>
            <a:lnSpc>
              <a:spcPct val="100000"/>
            </a:lnSpc>
          </a:pPr>
          <a:r>
            <a:rPr b="0" lang="en-US" sz="800" spc="-1" strike="noStrike">
              <a:solidFill>
                <a:srgbClr val="000000"/>
              </a:solidFill>
              <a:latin typeface="Arial"/>
            </a:rPr>
            <a:t>The 1.01 factor provides 1% margin from the max. normal load current.</a:t>
          </a:r>
          <a:endParaRPr b="0" lang="en-US" sz="800" spc="-1" strike="noStrike">
            <a:latin typeface="Times New Roman"/>
          </a:endParaRPr>
        </a:p>
      </xdr:txBody>
    </xdr:sp>
    <xdr:clientData/>
  </xdr:twoCellAnchor>
  <xdr:twoCellAnchor editAs="oneCell">
    <xdr:from>
      <xdr:col>1</xdr:col>
      <xdr:colOff>51840</xdr:colOff>
      <xdr:row>0</xdr:row>
      <xdr:rowOff>171360</xdr:rowOff>
    </xdr:from>
    <xdr:to>
      <xdr:col>1</xdr:col>
      <xdr:colOff>1713600</xdr:colOff>
      <xdr:row>0</xdr:row>
      <xdr:rowOff>608400</xdr:rowOff>
    </xdr:to>
    <xdr:pic>
      <xdr:nvPicPr>
        <xdr:cNvPr id="4" name="Picture 9" descr="">
          <a:hlinkClick r:id="rId1"/>
        </xdr:cNvPr>
        <xdr:cNvPicPr/>
      </xdr:nvPicPr>
      <xdr:blipFill>
        <a:blip r:embed="rId2"/>
        <a:srcRect l="0" t="0" r="26485" b="0"/>
        <a:stretch/>
      </xdr:blipFill>
      <xdr:spPr>
        <a:xfrm>
          <a:off x="79560" y="171360"/>
          <a:ext cx="1661760" cy="437040"/>
        </a:xfrm>
        <a:prstGeom prst="rect">
          <a:avLst/>
        </a:prstGeom>
        <a:ln w="9360">
          <a:noFill/>
        </a:ln>
      </xdr:spPr>
    </xdr:pic>
    <xdr:clientData/>
  </xdr:twoCellAnchor>
  <xdr:twoCellAnchor editAs="oneCell">
    <xdr:from>
      <xdr:col>5</xdr:col>
      <xdr:colOff>95760</xdr:colOff>
      <xdr:row>133</xdr:row>
      <xdr:rowOff>95400</xdr:rowOff>
    </xdr:from>
    <xdr:to>
      <xdr:col>10</xdr:col>
      <xdr:colOff>632160</xdr:colOff>
      <xdr:row>133</xdr:row>
      <xdr:rowOff>96480</xdr:rowOff>
    </xdr:to>
    <xdr:pic>
      <xdr:nvPicPr>
        <xdr:cNvPr id="5" name="Picture 216" descr=""/>
        <xdr:cNvPicPr/>
      </xdr:nvPicPr>
      <xdr:blipFill>
        <a:blip r:embed="rId3"/>
        <a:stretch/>
      </xdr:blipFill>
      <xdr:spPr>
        <a:xfrm>
          <a:off x="6816960" y="26433000"/>
          <a:ext cx="4251240" cy="1080"/>
        </a:xfrm>
        <a:prstGeom prst="rect">
          <a:avLst/>
        </a:prstGeom>
        <a:ln>
          <a:noFill/>
        </a:ln>
      </xdr:spPr>
    </xdr:pic>
    <xdr:clientData/>
  </xdr:twoCellAnchor>
  <xdr:twoCellAnchor editAs="twoCell">
    <xdr:from>
      <xdr:col>38</xdr:col>
      <xdr:colOff>714600</xdr:colOff>
      <xdr:row>0</xdr:row>
      <xdr:rowOff>114840</xdr:rowOff>
    </xdr:from>
    <xdr:to>
      <xdr:col>42</xdr:col>
      <xdr:colOff>554760</xdr:colOff>
      <xdr:row>0</xdr:row>
      <xdr:rowOff>515880</xdr:rowOff>
    </xdr:to>
    <xdr:pic>
      <xdr:nvPicPr>
        <xdr:cNvPr id="6" name="Picture 84" descr=""/>
        <xdr:cNvPicPr/>
      </xdr:nvPicPr>
      <xdr:blipFill>
        <a:blip r:embed="rId4"/>
        <a:stretch/>
      </xdr:blipFill>
      <xdr:spPr>
        <a:xfrm>
          <a:off x="13196520" y="114840"/>
          <a:ext cx="1532520" cy="401040"/>
        </a:xfrm>
        <a:prstGeom prst="rect">
          <a:avLst/>
        </a:prstGeom>
        <a:ln>
          <a:noFill/>
        </a:ln>
      </xdr:spPr>
    </xdr:pic>
    <xdr:clientData/>
  </xdr:twoCellAnchor>
  <xdr:twoCellAnchor editAs="oneCell">
    <xdr:from>
      <xdr:col>7</xdr:col>
      <xdr:colOff>274320</xdr:colOff>
      <xdr:row>49</xdr:row>
      <xdr:rowOff>77400</xdr:rowOff>
    </xdr:from>
    <xdr:to>
      <xdr:col>38</xdr:col>
      <xdr:colOff>309240</xdr:colOff>
      <xdr:row>64</xdr:row>
      <xdr:rowOff>122040</xdr:rowOff>
    </xdr:to>
    <xdr:graphicFrame>
      <xdr:nvGraphicFramePr>
        <xdr:cNvPr id="7" name="Chart 100"/>
        <xdr:cNvGraphicFramePr/>
      </xdr:nvGraphicFramePr>
      <xdr:xfrm>
        <a:off x="8500680" y="10670760"/>
        <a:ext cx="4290480" cy="28281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twoCell">
    <xdr:from>
      <xdr:col>8</xdr:col>
      <xdr:colOff>53640</xdr:colOff>
      <xdr:row>43</xdr:row>
      <xdr:rowOff>176040</xdr:rowOff>
    </xdr:from>
    <xdr:to>
      <xdr:col>8</xdr:col>
      <xdr:colOff>237240</xdr:colOff>
      <xdr:row>45</xdr:row>
      <xdr:rowOff>57600</xdr:rowOff>
    </xdr:to>
    <xdr:sp>
      <xdr:nvSpPr>
        <xdr:cNvPr id="8" name="CustomShape 1"/>
        <xdr:cNvSpPr/>
      </xdr:nvSpPr>
      <xdr:spPr>
        <a:xfrm>
          <a:off x="8956800" y="9626400"/>
          <a:ext cx="183600" cy="262800"/>
        </a:xfrm>
        <a:prstGeom prst="rect">
          <a:avLst/>
        </a:prstGeom>
        <a:noFill/>
        <a:ln>
          <a:noFill/>
        </a:ln>
      </xdr:spPr>
      <xdr:style>
        <a:lnRef idx="0"/>
        <a:fillRef idx="0"/>
        <a:effectRef idx="0"/>
        <a:fontRef idx="minor"/>
      </xdr:style>
    </xdr:sp>
    <xdr:clientData/>
  </xdr:twoCellAnchor>
  <xdr:twoCellAnchor editAs="oneCell">
    <xdr:from>
      <xdr:col>7</xdr:col>
      <xdr:colOff>219960</xdr:colOff>
      <xdr:row>67</xdr:row>
      <xdr:rowOff>94680</xdr:rowOff>
    </xdr:from>
    <xdr:to>
      <xdr:col>38</xdr:col>
      <xdr:colOff>213840</xdr:colOff>
      <xdr:row>80</xdr:row>
      <xdr:rowOff>189720</xdr:rowOff>
    </xdr:to>
    <xdr:graphicFrame>
      <xdr:nvGraphicFramePr>
        <xdr:cNvPr id="9" name="Chart 15"/>
        <xdr:cNvGraphicFramePr/>
      </xdr:nvGraphicFramePr>
      <xdr:xfrm>
        <a:off x="8446320" y="14042880"/>
        <a:ext cx="4249440" cy="236196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twoCell">
    <xdr:from>
      <xdr:col>11</xdr:col>
      <xdr:colOff>434520</xdr:colOff>
      <xdr:row>55</xdr:row>
      <xdr:rowOff>92160</xdr:rowOff>
    </xdr:from>
    <xdr:to>
      <xdr:col>11</xdr:col>
      <xdr:colOff>618120</xdr:colOff>
      <xdr:row>56</xdr:row>
      <xdr:rowOff>164520</xdr:rowOff>
    </xdr:to>
    <xdr:sp>
      <xdr:nvSpPr>
        <xdr:cNvPr id="10" name="CustomShape 1"/>
        <xdr:cNvSpPr/>
      </xdr:nvSpPr>
      <xdr:spPr>
        <a:xfrm>
          <a:off x="11595240" y="11759400"/>
          <a:ext cx="183600" cy="261720"/>
        </a:xfrm>
        <a:prstGeom prst="rect">
          <a:avLst/>
        </a:prstGeom>
        <a:noFill/>
        <a:ln>
          <a:noFill/>
        </a:ln>
      </xdr:spPr>
      <xdr:style>
        <a:lnRef idx="0"/>
        <a:fillRef idx="0"/>
        <a:effectRef idx="0"/>
        <a:fontRef idx="minor"/>
      </xdr:style>
    </xdr:sp>
    <xdr:clientData/>
  </xdr:twoCellAnchor>
  <xdr:twoCellAnchor editAs="oneCell">
    <xdr:from>
      <xdr:col>7</xdr:col>
      <xdr:colOff>236520</xdr:colOff>
      <xdr:row>81</xdr:row>
      <xdr:rowOff>57240</xdr:rowOff>
    </xdr:from>
    <xdr:to>
      <xdr:col>38</xdr:col>
      <xdr:colOff>325440</xdr:colOff>
      <xdr:row>90</xdr:row>
      <xdr:rowOff>345960</xdr:rowOff>
    </xdr:to>
    <xdr:graphicFrame>
      <xdr:nvGraphicFramePr>
        <xdr:cNvPr id="11" name="Chart 17"/>
        <xdr:cNvGraphicFramePr/>
      </xdr:nvGraphicFramePr>
      <xdr:xfrm>
        <a:off x="8462880" y="16462800"/>
        <a:ext cx="4344480" cy="20998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twoCell">
    <xdr:from>
      <xdr:col>12</xdr:col>
      <xdr:colOff>663840</xdr:colOff>
      <xdr:row>69</xdr:row>
      <xdr:rowOff>31320</xdr:rowOff>
    </xdr:from>
    <xdr:to>
      <xdr:col>38</xdr:col>
      <xdr:colOff>150840</xdr:colOff>
      <xdr:row>70</xdr:row>
      <xdr:rowOff>131760</xdr:rowOff>
    </xdr:to>
    <xdr:sp>
      <xdr:nvSpPr>
        <xdr:cNvPr id="12" name="CustomShape 1"/>
        <xdr:cNvSpPr/>
      </xdr:nvSpPr>
      <xdr:spPr>
        <a:xfrm>
          <a:off x="12449880" y="14317920"/>
          <a:ext cx="182880" cy="263160"/>
        </a:xfrm>
        <a:prstGeom prst="rect">
          <a:avLst/>
        </a:prstGeom>
        <a:noFill/>
        <a:ln>
          <a:noFill/>
        </a:ln>
      </xdr:spPr>
      <xdr:style>
        <a:lnRef idx="0"/>
        <a:fillRef idx="0"/>
        <a:effectRef idx="0"/>
        <a:fontRef idx="minor"/>
      </xdr:style>
    </xdr:sp>
    <xdr:clientData/>
  </xdr:twoCellAnchor>
  <xdr:twoCellAnchor editAs="absolute">
    <xdr:from>
      <xdr:col>8</xdr:col>
      <xdr:colOff>68040</xdr:colOff>
      <xdr:row>37</xdr:row>
      <xdr:rowOff>152640</xdr:rowOff>
    </xdr:from>
    <xdr:to>
      <xdr:col>11</xdr:col>
      <xdr:colOff>498600</xdr:colOff>
      <xdr:row>48</xdr:row>
      <xdr:rowOff>34560</xdr:rowOff>
    </xdr:to>
    <xdr:pic>
      <xdr:nvPicPr>
        <xdr:cNvPr id="13" name="Picture 22" descr=""/>
        <xdr:cNvPicPr/>
      </xdr:nvPicPr>
      <xdr:blipFill>
        <a:blip r:embed="rId8"/>
        <a:stretch/>
      </xdr:blipFill>
      <xdr:spPr>
        <a:xfrm>
          <a:off x="8971200" y="8460000"/>
          <a:ext cx="2688120" cy="1977480"/>
        </a:xfrm>
        <a:prstGeom prst="rect">
          <a:avLst/>
        </a:prstGeom>
        <a:ln>
          <a:noFill/>
        </a:ln>
      </xdr:spPr>
    </xdr:pic>
    <xdr:clientData/>
  </xdr:twoCellAnchor>
  <xdr:twoCellAnchor editAs="absolute">
    <xdr:from>
      <xdr:col>9</xdr:col>
      <xdr:colOff>5760</xdr:colOff>
      <xdr:row>40</xdr:row>
      <xdr:rowOff>151920</xdr:rowOff>
    </xdr:from>
    <xdr:to>
      <xdr:col>9</xdr:col>
      <xdr:colOff>563400</xdr:colOff>
      <xdr:row>41</xdr:row>
      <xdr:rowOff>186120</xdr:rowOff>
    </xdr:to>
    <xdr:sp>
      <xdr:nvSpPr>
        <xdr:cNvPr id="14" name="CustomShape 1"/>
        <xdr:cNvSpPr/>
      </xdr:nvSpPr>
      <xdr:spPr>
        <a:xfrm>
          <a:off x="9816480" y="9030960"/>
          <a:ext cx="557640" cy="22464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nSpc>
              <a:spcPct val="100000"/>
            </a:lnSpc>
          </a:pPr>
          <a:r>
            <a:rPr b="0" lang="en-US" sz="1200" spc="-1" strike="noStrike">
              <a:solidFill>
                <a:srgbClr val="000000"/>
              </a:solidFill>
              <a:latin typeface="Arial"/>
            </a:rPr>
            <a:t>R</a:t>
          </a:r>
          <a:r>
            <a:rPr b="0" lang="en-US" sz="1200" spc="-1" strike="noStrike" baseline="-25000">
              <a:solidFill>
                <a:srgbClr val="000000"/>
              </a:solidFill>
              <a:latin typeface="Arial"/>
            </a:rPr>
            <a:t>CL1</a:t>
          </a:r>
          <a:endParaRPr b="0" lang="en-US" sz="1200" spc="-1" strike="noStrike">
            <a:latin typeface="Times New Roman"/>
          </a:endParaRPr>
        </a:p>
      </xdr:txBody>
    </xdr:sp>
    <xdr:clientData/>
  </xdr:twoCellAnchor>
  <xdr:twoCellAnchor editAs="absolute">
    <xdr:from>
      <xdr:col>10</xdr:col>
      <xdr:colOff>289800</xdr:colOff>
      <xdr:row>40</xdr:row>
      <xdr:rowOff>82440</xdr:rowOff>
    </xdr:from>
    <xdr:to>
      <xdr:col>11</xdr:col>
      <xdr:colOff>123120</xdr:colOff>
      <xdr:row>41</xdr:row>
      <xdr:rowOff>183960</xdr:rowOff>
    </xdr:to>
    <xdr:sp>
      <xdr:nvSpPr>
        <xdr:cNvPr id="15" name="CustomShape 1"/>
        <xdr:cNvSpPr/>
      </xdr:nvSpPr>
      <xdr:spPr>
        <a:xfrm>
          <a:off x="10725840" y="8961480"/>
          <a:ext cx="558000" cy="29196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nSpc>
              <a:spcPct val="100000"/>
            </a:lnSpc>
          </a:pPr>
          <a:r>
            <a:rPr b="0" lang="en-US" sz="1200" spc="-1" strike="noStrike">
              <a:solidFill>
                <a:srgbClr val="000000"/>
              </a:solidFill>
              <a:latin typeface="Arial"/>
            </a:rPr>
            <a:t>R</a:t>
          </a:r>
          <a:r>
            <a:rPr b="0" lang="en-US" sz="1200" spc="-1" strike="noStrike" baseline="-25000">
              <a:solidFill>
                <a:srgbClr val="000000"/>
              </a:solidFill>
              <a:latin typeface="Arial"/>
            </a:rPr>
            <a:t>CL2</a:t>
          </a:r>
          <a:endParaRPr b="0" lang="en-US" sz="1200" spc="-1" strike="noStrike">
            <a:latin typeface="Times New Roman"/>
          </a:endParaRPr>
        </a:p>
      </xdr:txBody>
    </xdr:sp>
    <xdr:clientData/>
  </xdr:twoCellAnchor>
  <xdr:twoCellAnchor editAs="absolute">
    <xdr:from>
      <xdr:col>11</xdr:col>
      <xdr:colOff>145440</xdr:colOff>
      <xdr:row>46</xdr:row>
      <xdr:rowOff>36720</xdr:rowOff>
    </xdr:from>
    <xdr:to>
      <xdr:col>11</xdr:col>
      <xdr:colOff>237600</xdr:colOff>
      <xdr:row>47</xdr:row>
      <xdr:rowOff>63720</xdr:rowOff>
    </xdr:to>
    <xdr:sp>
      <xdr:nvSpPr>
        <xdr:cNvPr id="16" name="CustomShape 1"/>
        <xdr:cNvSpPr/>
      </xdr:nvSpPr>
      <xdr:spPr>
        <a:xfrm>
          <a:off x="11306160" y="10058760"/>
          <a:ext cx="92160" cy="217440"/>
        </a:xfrm>
        <a:prstGeom prst="rect">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9</xdr:col>
      <xdr:colOff>232920</xdr:colOff>
      <xdr:row>45</xdr:row>
      <xdr:rowOff>93960</xdr:rowOff>
    </xdr:from>
    <xdr:to>
      <xdr:col>11</xdr:col>
      <xdr:colOff>185040</xdr:colOff>
      <xdr:row>49</xdr:row>
      <xdr:rowOff>14040</xdr:rowOff>
    </xdr:to>
    <xdr:sp>
      <xdr:nvSpPr>
        <xdr:cNvPr id="17" name="CustomShape 1"/>
        <xdr:cNvSpPr/>
      </xdr:nvSpPr>
      <xdr:spPr>
        <a:xfrm>
          <a:off x="10043640" y="9925560"/>
          <a:ext cx="1302120" cy="681840"/>
        </a:xfrm>
        <a:prstGeom prst="rect">
          <a:avLst/>
        </a:prstGeom>
        <a:solidFill>
          <a:srgbClr val="ffffff"/>
        </a:solidFill>
        <a:ln>
          <a:noFill/>
        </a:ln>
      </xdr:spPr>
      <xdr:style>
        <a:lnRef idx="0"/>
        <a:fillRef idx="0"/>
        <a:effectRef idx="0"/>
        <a:fontRef idx="minor"/>
      </xdr:style>
      <xdr:txBody>
        <a:bodyPr lIns="90000" rIns="90000" tIns="45000" bIns="45000">
          <a:spAutoFit/>
        </a:bodyPr>
        <a:p>
          <a:pPr>
            <a:lnSpc>
              <a:spcPct val="100000"/>
            </a:lnSpc>
          </a:pPr>
          <a:r>
            <a:rPr b="1" lang="en-US" sz="2000" spc="-1" strike="noStrike">
              <a:solidFill>
                <a:srgbClr val="000000"/>
              </a:solidFill>
              <a:latin typeface="Calibri"/>
            </a:rPr>
            <a:t>TPS249x</a:t>
          </a:r>
          <a:endParaRPr b="0" lang="en-US" sz="2000" spc="-1" strike="noStrike">
            <a:latin typeface="Times New Roman"/>
          </a:endParaRPr>
        </a:p>
      </xdr:txBody>
    </xdr:sp>
    <xdr:clientData/>
  </xdr:twoCellAnchor>
  <xdr:twoCellAnchor editAs="twoCell">
    <xdr:from>
      <xdr:col>8</xdr:col>
      <xdr:colOff>570600</xdr:colOff>
      <xdr:row>43</xdr:row>
      <xdr:rowOff>145080</xdr:rowOff>
    </xdr:from>
    <xdr:to>
      <xdr:col>9</xdr:col>
      <xdr:colOff>195120</xdr:colOff>
      <xdr:row>44</xdr:row>
      <xdr:rowOff>188640</xdr:rowOff>
    </xdr:to>
    <xdr:sp>
      <xdr:nvSpPr>
        <xdr:cNvPr id="18" name="CustomShape 1"/>
        <xdr:cNvSpPr/>
      </xdr:nvSpPr>
      <xdr:spPr>
        <a:xfrm>
          <a:off x="9473760" y="9595440"/>
          <a:ext cx="532080" cy="234360"/>
        </a:xfrm>
        <a:prstGeom prst="rect">
          <a:avLst/>
        </a:prstGeom>
        <a:solidFill>
          <a:srgbClr val="ffffff"/>
        </a:solidFill>
        <a:ln>
          <a:noFill/>
        </a:ln>
      </xdr:spPr>
      <xdr:style>
        <a:lnRef idx="0"/>
        <a:fillRef idx="0"/>
        <a:effectRef idx="0"/>
        <a:fontRef idx="minor"/>
      </xdr:style>
      <xdr:txBody>
        <a:bodyPr lIns="90000" rIns="90000" tIns="45000" bIns="45000">
          <a:noAutofit/>
        </a:bodyPr>
        <a:p>
          <a:pPr>
            <a:lnSpc>
              <a:spcPct val="100000"/>
            </a:lnSpc>
          </a:pPr>
          <a:r>
            <a:rPr b="0" lang="en-US" sz="1200" spc="-1" strike="noStrike">
              <a:solidFill>
                <a:srgbClr val="000000"/>
              </a:solidFill>
              <a:latin typeface="Calibri"/>
            </a:rPr>
            <a:t>VCC</a:t>
          </a:r>
          <a:endParaRPr b="0" lang="en-US" sz="1200" spc="-1" strike="noStrike">
            <a:latin typeface="Times New Roman"/>
          </a:endParaRPr>
        </a:p>
      </xdr:txBody>
    </xdr:sp>
    <xdr:clientData/>
  </xdr:twoCellAnchor>
  <xdr:twoCellAnchor editAs="twoCell">
    <xdr:from>
      <xdr:col>9</xdr:col>
      <xdr:colOff>571680</xdr:colOff>
      <xdr:row>43</xdr:row>
      <xdr:rowOff>145800</xdr:rowOff>
    </xdr:from>
    <xdr:to>
      <xdr:col>10</xdr:col>
      <xdr:colOff>586080</xdr:colOff>
      <xdr:row>44</xdr:row>
      <xdr:rowOff>189360</xdr:rowOff>
    </xdr:to>
    <xdr:sp>
      <xdr:nvSpPr>
        <xdr:cNvPr id="19" name="CustomShape 1"/>
        <xdr:cNvSpPr/>
      </xdr:nvSpPr>
      <xdr:spPr>
        <a:xfrm>
          <a:off x="10382400" y="9596160"/>
          <a:ext cx="639720" cy="234360"/>
        </a:xfrm>
        <a:prstGeom prst="rect">
          <a:avLst/>
        </a:prstGeom>
        <a:solidFill>
          <a:srgbClr val="ffffff"/>
        </a:solidFill>
        <a:ln>
          <a:noFill/>
        </a:ln>
      </xdr:spPr>
      <xdr:style>
        <a:lnRef idx="0"/>
        <a:fillRef idx="0"/>
        <a:effectRef idx="0"/>
        <a:fontRef idx="minor"/>
      </xdr:style>
      <xdr:txBody>
        <a:bodyPr lIns="90000" rIns="90000" tIns="45000" bIns="45000">
          <a:noAutofit/>
        </a:bodyPr>
        <a:p>
          <a:pPr>
            <a:lnSpc>
              <a:spcPct val="100000"/>
            </a:lnSpc>
          </a:pPr>
          <a:r>
            <a:rPr b="0" lang="en-US" sz="1200" spc="-1" strike="noStrike">
              <a:solidFill>
                <a:srgbClr val="000000"/>
              </a:solidFill>
              <a:latin typeface="Calibri"/>
            </a:rPr>
            <a:t>SENSE</a:t>
          </a:r>
          <a:endParaRPr b="0" lang="en-US" sz="1200" spc="-1" strike="noStrike">
            <a:latin typeface="Times New Roman"/>
          </a:endParaRPr>
        </a:p>
      </xdr:txBody>
    </xdr:sp>
    <xdr:clientData/>
  </xdr:twoCellAnchor>
  <xdr:twoCellAnchor editAs="oneCell">
    <xdr:from>
      <xdr:col>1</xdr:col>
      <xdr:colOff>54000</xdr:colOff>
      <xdr:row>104</xdr:row>
      <xdr:rowOff>121680</xdr:rowOff>
    </xdr:from>
    <xdr:to>
      <xdr:col>3</xdr:col>
      <xdr:colOff>913320</xdr:colOff>
      <xdr:row>119</xdr:row>
      <xdr:rowOff>6480</xdr:rowOff>
    </xdr:to>
    <xdr:pic>
      <xdr:nvPicPr>
        <xdr:cNvPr id="20" name="Picture 14" descr=""/>
        <xdr:cNvPicPr/>
      </xdr:nvPicPr>
      <xdr:blipFill>
        <a:blip r:embed="rId9"/>
        <a:stretch/>
      </xdr:blipFill>
      <xdr:spPr>
        <a:xfrm>
          <a:off x="81720" y="21267720"/>
          <a:ext cx="4909320" cy="2732760"/>
        </a:xfrm>
        <a:prstGeom prst="rect">
          <a:avLst/>
        </a:prstGeom>
        <a:ln>
          <a:noFill/>
        </a:ln>
      </xdr:spPr>
    </xdr:pic>
    <xdr:clientData/>
  </xdr:twoCellAnchor>
  <xdr:twoCellAnchor editAs="twoCell">
    <xdr:from>
      <xdr:col>2</xdr:col>
      <xdr:colOff>419040</xdr:colOff>
      <xdr:row>104</xdr:row>
      <xdr:rowOff>60480</xdr:rowOff>
    </xdr:from>
    <xdr:to>
      <xdr:col>2</xdr:col>
      <xdr:colOff>898200</xdr:colOff>
      <xdr:row>105</xdr:row>
      <xdr:rowOff>159840</xdr:rowOff>
    </xdr:to>
    <xdr:sp>
      <xdr:nvSpPr>
        <xdr:cNvPr id="21" name="CustomShape 1"/>
        <xdr:cNvSpPr/>
      </xdr:nvSpPr>
      <xdr:spPr>
        <a:xfrm>
          <a:off x="2308680" y="21206520"/>
          <a:ext cx="479160" cy="289800"/>
        </a:xfrm>
        <a:prstGeom prst="rect">
          <a:avLst/>
        </a:prstGeom>
        <a:solidFill>
          <a:srgbClr val="ffffff"/>
        </a:solidFill>
        <a:ln>
          <a:noFill/>
        </a:ln>
      </xdr:spPr>
      <xdr:style>
        <a:lnRef idx="0"/>
        <a:fillRef idx="0"/>
        <a:effectRef idx="0"/>
        <a:fontRef idx="minor"/>
      </xdr:style>
      <xdr:txBody>
        <a:bodyPr lIns="90000" rIns="90000" tIns="45000" bIns="45000">
          <a:spAutoFit/>
        </a:bodyPr>
        <a:p>
          <a:pPr>
            <a:lnSpc>
              <a:spcPct val="100000"/>
            </a:lnSpc>
          </a:pPr>
          <a:r>
            <a:rPr b="0" lang="en-US" sz="1200" spc="-1" strike="noStrike">
              <a:solidFill>
                <a:srgbClr val="000000"/>
              </a:solidFill>
              <a:latin typeface="Calibri"/>
            </a:rPr>
            <a:t>Q</a:t>
          </a:r>
          <a:r>
            <a:rPr b="0" lang="en-US" sz="1200" spc="-1" strike="noStrike" baseline="-25000">
              <a:solidFill>
                <a:srgbClr val="000000"/>
              </a:solidFill>
              <a:latin typeface="Calibri"/>
            </a:rPr>
            <a:t>1</a:t>
          </a:r>
          <a:endParaRPr b="0" lang="en-US" sz="1200" spc="-1" strike="noStrike">
            <a:latin typeface="Times New Roman"/>
          </a:endParaRPr>
        </a:p>
      </xdr:txBody>
    </xdr:sp>
    <xdr:clientData/>
  </xdr:twoCellAnchor>
  <xdr:twoCellAnchor editAs="oneCell">
    <xdr:from>
      <xdr:col>1</xdr:col>
      <xdr:colOff>85320</xdr:colOff>
      <xdr:row>14</xdr:row>
      <xdr:rowOff>36000</xdr:rowOff>
    </xdr:from>
    <xdr:to>
      <xdr:col>1</xdr:col>
      <xdr:colOff>1784520</xdr:colOff>
      <xdr:row>21</xdr:row>
      <xdr:rowOff>220320</xdr:rowOff>
    </xdr:to>
    <xdr:pic>
      <xdr:nvPicPr>
        <xdr:cNvPr id="22" name="Picture 27" descr="">
          <a:hlinkClick r:id="rId10"/>
        </xdr:cNvPr>
        <xdr:cNvPicPr/>
      </xdr:nvPicPr>
      <xdr:blipFill>
        <a:blip r:embed="rId11"/>
        <a:stretch/>
      </xdr:blipFill>
      <xdr:spPr>
        <a:xfrm>
          <a:off x="113040" y="3473640"/>
          <a:ext cx="1699200" cy="1685520"/>
        </a:xfrm>
        <a:prstGeom prst="rect">
          <a:avLst/>
        </a:prstGeom>
        <a:ln>
          <a:noFill/>
        </a:ln>
      </xdr:spPr>
    </xdr:pic>
    <xdr:clientData/>
  </xdr:twoCellAnchor>
  <xdr:twoCellAnchor editAs="oneCell">
    <xdr:from>
      <xdr:col>1</xdr:col>
      <xdr:colOff>43200</xdr:colOff>
      <xdr:row>27</xdr:row>
      <xdr:rowOff>14040</xdr:rowOff>
    </xdr:from>
    <xdr:to>
      <xdr:col>1</xdr:col>
      <xdr:colOff>1788480</xdr:colOff>
      <xdr:row>32</xdr:row>
      <xdr:rowOff>2880</xdr:rowOff>
    </xdr:to>
    <xdr:pic>
      <xdr:nvPicPr>
        <xdr:cNvPr id="23" name="Picture 28" descr="">
          <a:hlinkClick r:id="rId12"/>
        </xdr:cNvPr>
        <xdr:cNvPicPr/>
      </xdr:nvPicPr>
      <xdr:blipFill>
        <a:blip r:embed="rId13"/>
        <a:stretch/>
      </xdr:blipFill>
      <xdr:spPr>
        <a:xfrm>
          <a:off x="70920" y="6416640"/>
          <a:ext cx="1745280" cy="941400"/>
        </a:xfrm>
        <a:prstGeom prst="rect">
          <a:avLst/>
        </a:prstGeom>
        <a:ln>
          <a:noFill/>
        </a:ln>
      </xdr:spPr>
    </xdr:pic>
    <xdr:clientData/>
  </xdr:twoCellAnchor>
  <xdr:twoCellAnchor editAs="oneCell">
    <xdr:from>
      <xdr:col>1</xdr:col>
      <xdr:colOff>50040</xdr:colOff>
      <xdr:row>38</xdr:row>
      <xdr:rowOff>21240</xdr:rowOff>
    </xdr:from>
    <xdr:to>
      <xdr:col>2</xdr:col>
      <xdr:colOff>12600</xdr:colOff>
      <xdr:row>44</xdr:row>
      <xdr:rowOff>20160</xdr:rowOff>
    </xdr:to>
    <xdr:pic>
      <xdr:nvPicPr>
        <xdr:cNvPr id="24" name="Picture 29" descr="">
          <a:hlinkClick r:id="rId14"/>
        </xdr:cNvPr>
        <xdr:cNvPicPr/>
      </xdr:nvPicPr>
      <xdr:blipFill>
        <a:blip r:embed="rId15"/>
        <a:stretch/>
      </xdr:blipFill>
      <xdr:spPr>
        <a:xfrm>
          <a:off x="77760" y="8519400"/>
          <a:ext cx="1824480" cy="1141920"/>
        </a:xfrm>
        <a:prstGeom prst="rect">
          <a:avLst/>
        </a:prstGeom>
        <a:ln>
          <a:noFill/>
        </a:ln>
      </xdr:spPr>
    </xdr:pic>
    <xdr:clientData/>
  </xdr:twoCellAnchor>
  <xdr:twoCellAnchor editAs="oneCell">
    <xdr:from>
      <xdr:col>1</xdr:col>
      <xdr:colOff>64080</xdr:colOff>
      <xdr:row>50</xdr:row>
      <xdr:rowOff>14040</xdr:rowOff>
    </xdr:from>
    <xdr:to>
      <xdr:col>2</xdr:col>
      <xdr:colOff>78480</xdr:colOff>
      <xdr:row>55</xdr:row>
      <xdr:rowOff>131400</xdr:rowOff>
    </xdr:to>
    <xdr:pic>
      <xdr:nvPicPr>
        <xdr:cNvPr id="25" name="Picture 30" descr="">
          <a:hlinkClick r:id="rId16"/>
        </xdr:cNvPr>
        <xdr:cNvPicPr/>
      </xdr:nvPicPr>
      <xdr:blipFill>
        <a:blip r:embed="rId17"/>
        <a:stretch/>
      </xdr:blipFill>
      <xdr:spPr>
        <a:xfrm>
          <a:off x="91800" y="10787400"/>
          <a:ext cx="1876320" cy="1011240"/>
        </a:xfrm>
        <a:prstGeom prst="rect">
          <a:avLst/>
        </a:prstGeom>
        <a:ln>
          <a:noFill/>
        </a:ln>
      </xdr:spPr>
    </xdr:pic>
    <xdr:clientData/>
  </xdr:twoCellAnchor>
  <xdr:twoCellAnchor editAs="oneCell">
    <xdr:from>
      <xdr:col>1</xdr:col>
      <xdr:colOff>64080</xdr:colOff>
      <xdr:row>68</xdr:row>
      <xdr:rowOff>21600</xdr:rowOff>
    </xdr:from>
    <xdr:to>
      <xdr:col>2</xdr:col>
      <xdr:colOff>181080</xdr:colOff>
      <xdr:row>75</xdr:row>
      <xdr:rowOff>99720</xdr:rowOff>
    </xdr:to>
    <xdr:pic>
      <xdr:nvPicPr>
        <xdr:cNvPr id="26" name="Picture 31" descr="">
          <a:hlinkClick r:id="rId18"/>
        </xdr:cNvPr>
        <xdr:cNvPicPr/>
      </xdr:nvPicPr>
      <xdr:blipFill>
        <a:blip r:embed="rId19"/>
        <a:stretch/>
      </xdr:blipFill>
      <xdr:spPr>
        <a:xfrm>
          <a:off x="91800" y="14146200"/>
          <a:ext cx="1978920" cy="1216080"/>
        </a:xfrm>
        <a:prstGeom prst="rect">
          <a:avLst/>
        </a:prstGeom>
        <a:ln>
          <a:noFill/>
        </a:ln>
      </xdr:spPr>
    </xdr:pic>
    <xdr:clientData/>
  </xdr:twoCellAnchor>
  <xdr:twoCellAnchor editAs="oneCell">
    <xdr:from>
      <xdr:col>1</xdr:col>
      <xdr:colOff>720</xdr:colOff>
      <xdr:row>92</xdr:row>
      <xdr:rowOff>0</xdr:rowOff>
    </xdr:from>
    <xdr:to>
      <xdr:col>2</xdr:col>
      <xdr:colOff>167040</xdr:colOff>
      <xdr:row>97</xdr:row>
      <xdr:rowOff>126000</xdr:rowOff>
    </xdr:to>
    <xdr:pic>
      <xdr:nvPicPr>
        <xdr:cNvPr id="27" name="Picture 32" descr="">
          <a:hlinkClick r:id="rId20"/>
        </xdr:cNvPr>
        <xdr:cNvPicPr/>
      </xdr:nvPicPr>
      <xdr:blipFill>
        <a:blip r:embed="rId21"/>
        <a:stretch/>
      </xdr:blipFill>
      <xdr:spPr>
        <a:xfrm>
          <a:off x="28440" y="18812160"/>
          <a:ext cx="2028240" cy="10785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21</xdr:col>
      <xdr:colOff>563760</xdr:colOff>
      <xdr:row>26</xdr:row>
      <xdr:rowOff>87480</xdr:rowOff>
    </xdr:from>
    <xdr:to>
      <xdr:col>28</xdr:col>
      <xdr:colOff>387360</xdr:colOff>
      <xdr:row>46</xdr:row>
      <xdr:rowOff>136080</xdr:rowOff>
    </xdr:to>
    <xdr:graphicFrame>
      <xdr:nvGraphicFramePr>
        <xdr:cNvPr id="28" name="Chart 4"/>
        <xdr:cNvGraphicFramePr/>
      </xdr:nvGraphicFramePr>
      <xdr:xfrm>
        <a:off x="19230120" y="4317840"/>
        <a:ext cx="4330800" cy="3286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https://sps08.itg.ti.com/Users/a0872642/Desktop/Excell%20Tools/TPS24720_design_calc_1_14_14.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https://sps08.itg.ti.com/Users/a0872642/Desktop/Excell%20Tools/TPS24720_design_calc_1_14_14_740.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Intro"/>
      <sheetName val="ILIM_SOA_considerations"/>
      <sheetName val="Worksheet"/>
      <sheetName val="SOA"/>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ro"/>
      <sheetName val="ILIM_SOA_considerations"/>
      <sheetName val="Worksheet"/>
      <sheetName val="SOA"/>
    </sheetNames>
    <sheetDataSet>
      <sheetData sheetId="0"/>
      <sheetData sheetId="1"/>
      <sheetData sheetId="2"/>
      <sheetData sheetId="3"/>
    </sheetDataSet>
  </externalBook>
</externalLink>
</file>

<file path=xl/worksheets/_rels/sheet1.xml.rels><?xml version="1.0" encoding="UTF-8"?>
<Relationships xmlns="http://schemas.openxmlformats.org/package/2006/relationships"><Relationship Id="rId1" Type="http://schemas.openxmlformats.org/officeDocument/2006/relationships/hyperlink" Target="http://www.ti.com/lit/pdf/slva673"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ti.com/hotswap" TargetMode="External"/><Relationship Id="rId3" Type="http://schemas.openxmlformats.org/officeDocument/2006/relationships/hyperlink" Target="https://training.ti.com/node/1133677" TargetMode="External"/><Relationship Id="rId4" Type="http://schemas.openxmlformats.org/officeDocument/2006/relationships/hyperlink" Target="https://training.ti.com/node/1133673" TargetMode="External"/><Relationship Id="rId5" Type="http://schemas.openxmlformats.org/officeDocument/2006/relationships/hyperlink" Target="https://training.ti.com/node/1133664" TargetMode="External"/><Relationship Id="rId6" Type="http://schemas.openxmlformats.org/officeDocument/2006/relationships/hyperlink" Target="https://training.ti.com/node/1133681" TargetMode="External"/><Relationship Id="rId7" Type="http://schemas.openxmlformats.org/officeDocument/2006/relationships/hyperlink" Target="http://www.ti.com/product/TPS2490" TargetMode="External"/><Relationship Id="rId8" Type="http://schemas.openxmlformats.org/officeDocument/2006/relationships/hyperlink" Target="http://e2e.ti.com/" TargetMode="External"/><Relationship Id="rId9" Type="http://schemas.openxmlformats.org/officeDocument/2006/relationships/hyperlink" Target="https://training.ti.com/node/1133677" TargetMode="External"/><Relationship Id="rId10" Type="http://schemas.openxmlformats.org/officeDocument/2006/relationships/hyperlink" Target="https://training.ti.com/node/1133677" TargetMode="External"/><Relationship Id="rId11" Type="http://schemas.openxmlformats.org/officeDocument/2006/relationships/hyperlink" Target="https://training.ti.com/node/1133673" TargetMode="External"/><Relationship Id="rId12" Type="http://schemas.openxmlformats.org/officeDocument/2006/relationships/hyperlink" Target="https://training.ti.com/node/1133664" TargetMode="External"/><Relationship Id="rId13" Type="http://schemas.openxmlformats.org/officeDocument/2006/relationships/hyperlink" Target="https://training.ti.com/node/1133681" TargetMode="External"/><Relationship Id="rId14" Type="http://schemas.openxmlformats.org/officeDocument/2006/relationships/drawing" Target="../drawings/drawing2.xml"/><Relationship Id="rId15"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8.70703125" defaultRowHeight="12.75" zeroHeight="false" outlineLevelRow="0" outlineLevelCol="0"/>
  <sheetData>
    <row r="1" customFormat="false" ht="13.15" hidden="false" customHeight="false" outlineLevel="0" collapsed="false">
      <c r="A1" s="1"/>
      <c r="B1" s="2"/>
      <c r="C1" s="2"/>
      <c r="D1" s="2"/>
      <c r="E1" s="2"/>
      <c r="F1" s="2"/>
      <c r="G1" s="2"/>
      <c r="H1" s="2"/>
      <c r="I1" s="2"/>
      <c r="J1" s="2"/>
      <c r="K1" s="2"/>
      <c r="L1" s="2"/>
      <c r="M1" s="2"/>
      <c r="N1" s="2"/>
      <c r="O1" s="2"/>
      <c r="P1" s="3"/>
    </row>
    <row r="2" customFormat="false" ht="12.75" hidden="false" customHeight="false" outlineLevel="0" collapsed="false">
      <c r="A2" s="4"/>
      <c r="B2" s="5"/>
      <c r="C2" s="5"/>
      <c r="D2" s="5"/>
      <c r="E2" s="5"/>
      <c r="F2" s="5"/>
      <c r="G2" s="5"/>
      <c r="H2" s="5"/>
      <c r="I2" s="5"/>
      <c r="J2" s="5"/>
      <c r="K2" s="5"/>
      <c r="L2" s="5"/>
      <c r="M2" s="5"/>
      <c r="N2" s="5"/>
      <c r="O2" s="5"/>
      <c r="P2" s="6"/>
    </row>
    <row r="3" customFormat="false" ht="30" hidden="false" customHeight="false" outlineLevel="0" collapsed="false">
      <c r="A3" s="4"/>
      <c r="B3" s="5"/>
      <c r="C3" s="5"/>
      <c r="D3" s="7"/>
      <c r="E3" s="5"/>
      <c r="F3" s="5"/>
      <c r="G3" s="5"/>
      <c r="H3" s="5"/>
      <c r="I3" s="5"/>
      <c r="J3" s="5"/>
      <c r="K3" s="5"/>
      <c r="L3" s="8"/>
      <c r="M3" s="5"/>
      <c r="N3" s="5"/>
      <c r="O3" s="5"/>
      <c r="P3" s="6"/>
    </row>
    <row r="4" customFormat="false" ht="22.5" hidden="false" customHeight="false" outlineLevel="0" collapsed="false">
      <c r="A4" s="4"/>
      <c r="B4" s="5"/>
      <c r="C4" s="5"/>
      <c r="D4" s="9"/>
      <c r="E4" s="5"/>
      <c r="F4" s="5"/>
      <c r="G4" s="5"/>
      <c r="H4" s="5"/>
      <c r="I4" s="5"/>
      <c r="J4" s="5"/>
      <c r="K4" s="5"/>
      <c r="L4" s="5"/>
      <c r="M4" s="5"/>
      <c r="N4" s="5"/>
      <c r="O4" s="5"/>
      <c r="P4" s="6"/>
    </row>
    <row r="5" customFormat="false" ht="12.75" hidden="false" customHeight="false" outlineLevel="0" collapsed="false">
      <c r="A5" s="4"/>
      <c r="B5" s="5"/>
      <c r="C5" s="5"/>
      <c r="D5" s="5"/>
      <c r="E5" s="5"/>
      <c r="F5" s="5"/>
      <c r="G5" s="5"/>
      <c r="H5" s="5"/>
      <c r="I5" s="5"/>
      <c r="J5" s="5"/>
      <c r="K5" s="5"/>
      <c r="L5" s="5"/>
      <c r="M5" s="5"/>
      <c r="N5" s="5"/>
      <c r="O5" s="5"/>
      <c r="P5" s="6"/>
    </row>
    <row r="6" customFormat="false" ht="12.75" hidden="false" customHeight="false" outlineLevel="0" collapsed="false">
      <c r="A6" s="4"/>
      <c r="B6" s="5"/>
      <c r="C6" s="5"/>
      <c r="D6" s="5"/>
      <c r="E6" s="5"/>
      <c r="F6" s="5"/>
      <c r="G6" s="5"/>
      <c r="H6" s="5"/>
      <c r="I6" s="5"/>
      <c r="J6" s="5"/>
      <c r="K6" s="5"/>
      <c r="L6" s="5"/>
      <c r="M6" s="5"/>
      <c r="N6" s="5"/>
      <c r="O6" s="5"/>
      <c r="P6" s="6"/>
    </row>
    <row r="7" customFormat="false" ht="15.4" hidden="false" customHeight="false" outlineLevel="0" collapsed="false">
      <c r="A7" s="4"/>
      <c r="B7" s="5"/>
      <c r="C7" s="5"/>
      <c r="D7" s="5"/>
      <c r="E7" s="5"/>
      <c r="F7" s="5"/>
      <c r="G7" s="5"/>
      <c r="H7" s="5"/>
      <c r="I7" s="5"/>
      <c r="J7" s="5"/>
      <c r="K7" s="5"/>
      <c r="L7" s="5"/>
      <c r="M7" s="8" t="s">
        <v>0</v>
      </c>
      <c r="N7" s="5"/>
      <c r="O7" s="5"/>
      <c r="P7" s="6"/>
    </row>
    <row r="8" customFormat="false" ht="30" hidden="false" customHeight="false" outlineLevel="0" collapsed="false">
      <c r="A8" s="4"/>
      <c r="B8" s="7" t="s">
        <v>1</v>
      </c>
      <c r="C8" s="5"/>
      <c r="D8" s="5"/>
      <c r="E8" s="5"/>
      <c r="F8" s="5"/>
      <c r="G8" s="5"/>
      <c r="H8" s="5"/>
      <c r="I8" s="5"/>
      <c r="J8" s="5"/>
      <c r="K8" s="5"/>
      <c r="L8" s="5"/>
      <c r="M8" s="5"/>
      <c r="N8" s="5"/>
      <c r="O8" s="5"/>
      <c r="P8" s="6"/>
    </row>
    <row r="9" customFormat="false" ht="12.75" hidden="false" customHeight="false" outlineLevel="0" collapsed="false">
      <c r="A9" s="4"/>
      <c r="B9" s="5"/>
      <c r="C9" s="5"/>
      <c r="D9" s="5"/>
      <c r="E9" s="5"/>
      <c r="F9" s="5"/>
      <c r="G9" s="5"/>
      <c r="H9" s="5"/>
      <c r="I9" s="5"/>
      <c r="J9" s="5"/>
      <c r="K9" s="5"/>
      <c r="L9" s="5"/>
      <c r="M9" s="5"/>
      <c r="N9" s="5"/>
      <c r="O9" s="5"/>
      <c r="P9" s="6"/>
    </row>
    <row r="10" customFormat="false" ht="20.25" hidden="false" customHeight="false" outlineLevel="0" collapsed="false">
      <c r="A10" s="4"/>
      <c r="B10" s="10" t="s">
        <v>2</v>
      </c>
      <c r="C10" s="11"/>
      <c r="D10" s="11"/>
      <c r="E10" s="11"/>
      <c r="F10" s="5"/>
      <c r="G10" s="5"/>
      <c r="H10" s="5"/>
      <c r="I10" s="5"/>
      <c r="J10" s="5"/>
      <c r="K10" s="5"/>
      <c r="L10" s="5"/>
      <c r="M10" s="5"/>
      <c r="N10" s="5"/>
      <c r="O10" s="5"/>
      <c r="P10" s="6"/>
    </row>
    <row r="11" customFormat="false" ht="13.9" hidden="false" customHeight="false" outlineLevel="0" collapsed="false">
      <c r="A11" s="4"/>
      <c r="B11" s="12" t="s">
        <v>3</v>
      </c>
      <c r="C11" s="13"/>
      <c r="D11" s="13"/>
      <c r="E11" s="13"/>
      <c r="F11" s="5"/>
      <c r="G11" s="5"/>
      <c r="H11" s="5"/>
      <c r="I11" s="5"/>
      <c r="J11" s="5"/>
      <c r="K11" s="5"/>
      <c r="L11" s="5"/>
      <c r="M11" s="5"/>
      <c r="N11" s="5"/>
      <c r="O11" s="5"/>
      <c r="P11" s="6"/>
    </row>
    <row r="12" customFormat="false" ht="13.9" hidden="false" customHeight="false" outlineLevel="0" collapsed="false">
      <c r="A12" s="4"/>
      <c r="B12" s="12" t="s">
        <v>4</v>
      </c>
      <c r="C12" s="13"/>
      <c r="D12" s="13"/>
      <c r="E12" s="13"/>
      <c r="F12" s="5"/>
      <c r="G12" s="5"/>
      <c r="H12" s="5"/>
      <c r="I12" s="5"/>
      <c r="J12" s="5"/>
      <c r="K12" s="5"/>
      <c r="L12" s="5"/>
      <c r="M12" s="5"/>
      <c r="N12" s="5"/>
      <c r="O12" s="5"/>
      <c r="P12" s="6"/>
    </row>
    <row r="13" customFormat="false" ht="13.9" hidden="false" customHeight="false" outlineLevel="0" collapsed="false">
      <c r="A13" s="4"/>
      <c r="B13" s="12"/>
      <c r="C13" s="13"/>
      <c r="D13" s="13"/>
      <c r="E13" s="13"/>
      <c r="F13" s="5"/>
      <c r="G13" s="5"/>
      <c r="H13" s="5"/>
      <c r="I13" s="5"/>
      <c r="J13" s="5"/>
      <c r="K13" s="5"/>
      <c r="L13" s="5"/>
      <c r="M13" s="5"/>
      <c r="N13" s="5"/>
      <c r="O13" s="5"/>
      <c r="P13" s="6"/>
    </row>
    <row r="14" customFormat="false" ht="12.75" hidden="false" customHeight="false" outlineLevel="0" collapsed="false">
      <c r="A14" s="4"/>
      <c r="B14" s="14" t="s">
        <v>5</v>
      </c>
      <c r="C14" s="14"/>
      <c r="D14" s="14"/>
      <c r="E14" s="11"/>
      <c r="F14" s="5"/>
      <c r="G14" s="5"/>
      <c r="H14" s="5"/>
      <c r="I14" s="5"/>
      <c r="J14" s="5"/>
      <c r="K14" s="5"/>
      <c r="L14" s="5"/>
      <c r="M14" s="5"/>
      <c r="N14" s="5"/>
      <c r="O14" s="5"/>
      <c r="P14" s="6"/>
    </row>
    <row r="15" customFormat="false" ht="12.75" hidden="false" customHeight="false" outlineLevel="0" collapsed="false">
      <c r="A15" s="4"/>
      <c r="B15" s="15"/>
      <c r="C15" s="15"/>
      <c r="D15" s="15"/>
      <c r="E15" s="15"/>
      <c r="F15" s="15"/>
      <c r="G15" s="15"/>
      <c r="H15" s="15"/>
      <c r="I15" s="15"/>
      <c r="J15" s="5"/>
      <c r="K15" s="5"/>
      <c r="L15" s="5"/>
      <c r="M15" s="5"/>
      <c r="N15" s="5"/>
      <c r="O15" s="5"/>
      <c r="P15" s="6"/>
    </row>
    <row r="16" customFormat="false" ht="12.75" hidden="false" customHeight="false" outlineLevel="0" collapsed="false">
      <c r="A16" s="4"/>
      <c r="B16" s="11"/>
      <c r="C16" s="11"/>
      <c r="D16" s="11"/>
      <c r="E16" s="11"/>
      <c r="F16" s="5"/>
      <c r="G16" s="5"/>
      <c r="H16" s="5"/>
      <c r="I16" s="5"/>
      <c r="J16" s="5"/>
      <c r="K16" s="5"/>
      <c r="L16" s="5"/>
      <c r="M16" s="5"/>
      <c r="N16" s="5"/>
      <c r="O16" s="5"/>
      <c r="P16" s="6"/>
    </row>
    <row r="17" customFormat="false" ht="12.75" hidden="false" customHeight="false" outlineLevel="0" collapsed="false">
      <c r="A17" s="4"/>
      <c r="B17" s="16" t="s">
        <v>6</v>
      </c>
      <c r="C17" s="11"/>
      <c r="D17" s="11"/>
      <c r="E17" s="11"/>
      <c r="F17" s="5"/>
      <c r="G17" s="5"/>
      <c r="H17" s="5"/>
      <c r="I17" s="5"/>
      <c r="J17" s="5"/>
      <c r="K17" s="5"/>
      <c r="L17" s="5"/>
      <c r="M17" s="5"/>
      <c r="N17" s="5"/>
      <c r="O17" s="5"/>
      <c r="P17" s="6"/>
    </row>
    <row r="18" customFormat="false" ht="12.75" hidden="false" customHeight="false" outlineLevel="0" collapsed="false">
      <c r="A18" s="4"/>
      <c r="B18" s="17" t="s">
        <v>7</v>
      </c>
      <c r="C18" s="11"/>
      <c r="D18" s="11"/>
      <c r="E18" s="11"/>
      <c r="F18" s="5"/>
      <c r="G18" s="5"/>
      <c r="H18" s="5"/>
      <c r="I18" s="5"/>
      <c r="J18" s="5"/>
      <c r="K18" s="5"/>
      <c r="L18" s="5"/>
      <c r="M18" s="5"/>
      <c r="N18" s="5"/>
      <c r="O18" s="5"/>
      <c r="P18" s="6"/>
    </row>
    <row r="19" customFormat="false" ht="12.75" hidden="false" customHeight="false" outlineLevel="0" collapsed="false">
      <c r="A19" s="4"/>
      <c r="B19" s="17" t="s">
        <v>8</v>
      </c>
      <c r="C19" s="11"/>
      <c r="D19" s="11"/>
      <c r="E19" s="11"/>
      <c r="F19" s="5"/>
      <c r="G19" s="5"/>
      <c r="H19" s="5"/>
      <c r="I19" s="5"/>
      <c r="J19" s="5"/>
      <c r="K19" s="5"/>
      <c r="L19" s="5"/>
      <c r="M19" s="5"/>
      <c r="N19" s="5"/>
      <c r="O19" s="5"/>
      <c r="P19" s="6"/>
    </row>
    <row r="20" customFormat="false" ht="12.75" hidden="false" customHeight="false" outlineLevel="0" collapsed="false">
      <c r="A20" s="4"/>
      <c r="B20" s="17" t="s">
        <v>9</v>
      </c>
      <c r="C20" s="11"/>
      <c r="D20" s="11"/>
      <c r="E20" s="11"/>
      <c r="F20" s="5"/>
      <c r="G20" s="5"/>
      <c r="H20" s="5"/>
      <c r="I20" s="5"/>
      <c r="J20" s="5"/>
      <c r="K20" s="5"/>
      <c r="L20" s="5"/>
      <c r="M20" s="5"/>
      <c r="N20" s="5"/>
      <c r="O20" s="5"/>
      <c r="P20" s="6"/>
    </row>
    <row r="21" customFormat="false" ht="12.75" hidden="false" customHeight="false" outlineLevel="0" collapsed="false">
      <c r="A21" s="4"/>
      <c r="B21" s="17" t="s">
        <v>10</v>
      </c>
      <c r="C21" s="11"/>
      <c r="D21" s="11"/>
      <c r="E21" s="11"/>
      <c r="F21" s="5"/>
      <c r="G21" s="5"/>
      <c r="H21" s="5"/>
      <c r="I21" s="5"/>
      <c r="J21" s="5"/>
      <c r="K21" s="5"/>
      <c r="L21" s="5"/>
      <c r="M21" s="5"/>
      <c r="N21" s="5"/>
      <c r="O21" s="5"/>
      <c r="P21" s="6"/>
    </row>
    <row r="22" customFormat="false" ht="12.75" hidden="false" customHeight="false" outlineLevel="0" collapsed="false">
      <c r="A22" s="4"/>
      <c r="B22" s="17" t="s">
        <v>11</v>
      </c>
      <c r="C22" s="11"/>
      <c r="D22" s="11"/>
      <c r="E22" s="11"/>
      <c r="F22" s="5"/>
      <c r="G22" s="5"/>
      <c r="H22" s="5"/>
      <c r="I22" s="5"/>
      <c r="J22" s="5"/>
      <c r="K22" s="5"/>
      <c r="L22" s="5"/>
      <c r="M22" s="5"/>
      <c r="N22" s="5"/>
      <c r="O22" s="5"/>
      <c r="P22" s="6"/>
    </row>
    <row r="23" customFormat="false" ht="12.75" hidden="false" customHeight="false" outlineLevel="0" collapsed="false">
      <c r="A23" s="4"/>
      <c r="B23" s="17" t="s">
        <v>12</v>
      </c>
      <c r="C23" s="11"/>
      <c r="D23" s="11"/>
      <c r="E23" s="11"/>
      <c r="F23" s="5"/>
      <c r="G23" s="5"/>
      <c r="H23" s="5"/>
      <c r="I23" s="5"/>
      <c r="J23" s="5"/>
      <c r="K23" s="5"/>
      <c r="L23" s="5"/>
      <c r="M23" s="5"/>
      <c r="N23" s="5"/>
      <c r="O23" s="5"/>
      <c r="P23" s="6"/>
    </row>
    <row r="24" customFormat="false" ht="12.75" hidden="false" customHeight="false" outlineLevel="0" collapsed="false">
      <c r="A24" s="4"/>
      <c r="B24" s="17" t="s">
        <v>13</v>
      </c>
      <c r="C24" s="11"/>
      <c r="D24" s="11"/>
      <c r="E24" s="11"/>
      <c r="F24" s="5"/>
      <c r="G24" s="5"/>
      <c r="H24" s="5"/>
      <c r="I24" s="5"/>
      <c r="J24" s="5"/>
      <c r="K24" s="5"/>
      <c r="L24" s="5"/>
      <c r="M24" s="5"/>
      <c r="N24" s="5"/>
      <c r="O24" s="5"/>
      <c r="P24" s="6"/>
    </row>
    <row r="25" customFormat="false" ht="12.75" hidden="false" customHeight="false" outlineLevel="0" collapsed="false">
      <c r="A25" s="4"/>
      <c r="B25" s="17"/>
      <c r="C25" s="11"/>
      <c r="D25" s="11"/>
      <c r="E25" s="11"/>
      <c r="F25" s="5"/>
      <c r="G25" s="5"/>
      <c r="H25" s="5"/>
      <c r="I25" s="5"/>
      <c r="J25" s="5"/>
      <c r="K25" s="5"/>
      <c r="L25" s="5"/>
      <c r="M25" s="5"/>
      <c r="N25" s="5"/>
      <c r="O25" s="5"/>
      <c r="P25" s="6"/>
    </row>
    <row r="26" customFormat="false" ht="20.25" hidden="false" customHeight="false" outlineLevel="0" collapsed="false">
      <c r="A26" s="4"/>
      <c r="B26" s="10" t="s">
        <v>14</v>
      </c>
      <c r="C26" s="5"/>
      <c r="D26" s="5"/>
      <c r="E26" s="5"/>
      <c r="F26" s="5"/>
      <c r="G26" s="5"/>
      <c r="H26" s="5"/>
      <c r="I26" s="5"/>
      <c r="J26" s="5"/>
      <c r="K26" s="5"/>
      <c r="L26" s="5"/>
      <c r="M26" s="5"/>
      <c r="N26" s="5"/>
      <c r="O26" s="5"/>
      <c r="P26" s="6"/>
    </row>
    <row r="27" customFormat="false" ht="12.75" hidden="false" customHeight="false" outlineLevel="0" collapsed="false">
      <c r="A27" s="4"/>
      <c r="B27" s="18" t="s">
        <v>15</v>
      </c>
      <c r="C27" s="5"/>
      <c r="D27" s="5"/>
      <c r="E27" s="5"/>
      <c r="F27" s="5"/>
      <c r="G27" s="5"/>
      <c r="H27" s="5"/>
      <c r="I27" s="5"/>
      <c r="J27" s="5"/>
      <c r="K27" s="5"/>
      <c r="L27" s="5"/>
      <c r="M27" s="5"/>
      <c r="N27" s="5"/>
      <c r="O27" s="5"/>
      <c r="P27" s="6"/>
    </row>
    <row r="28" customFormat="false" ht="12.75" hidden="false" customHeight="false" outlineLevel="0" collapsed="false">
      <c r="A28" s="4"/>
      <c r="B28" s="5" t="s">
        <v>16</v>
      </c>
      <c r="C28" s="5"/>
      <c r="D28" s="5"/>
      <c r="E28" s="5"/>
      <c r="F28" s="5"/>
      <c r="G28" s="5"/>
      <c r="H28" s="5"/>
      <c r="I28" s="5"/>
      <c r="J28" s="5"/>
      <c r="K28" s="5"/>
      <c r="L28" s="5"/>
      <c r="M28" s="5"/>
      <c r="N28" s="5"/>
      <c r="O28" s="5"/>
      <c r="P28" s="6"/>
    </row>
    <row r="29" customFormat="false" ht="12.75" hidden="false" customHeight="false" outlineLevel="0" collapsed="false">
      <c r="A29" s="4"/>
      <c r="B29" s="5"/>
      <c r="C29" s="5"/>
      <c r="D29" s="5"/>
      <c r="E29" s="5"/>
      <c r="F29" s="5"/>
      <c r="G29" s="5"/>
      <c r="H29" s="5"/>
      <c r="I29" s="5"/>
      <c r="J29" s="5"/>
      <c r="K29" s="5"/>
      <c r="L29" s="5"/>
      <c r="M29" s="5"/>
      <c r="N29" s="5"/>
      <c r="O29" s="5"/>
      <c r="P29" s="6"/>
    </row>
    <row r="30" customFormat="false" ht="12.75" hidden="false" customHeight="false" outlineLevel="0" collapsed="false">
      <c r="A30" s="4"/>
      <c r="B30" s="18" t="s">
        <v>17</v>
      </c>
      <c r="C30" s="5"/>
      <c r="D30" s="5"/>
      <c r="E30" s="5"/>
      <c r="F30" s="5"/>
      <c r="G30" s="5"/>
      <c r="H30" s="5"/>
      <c r="I30" s="5"/>
      <c r="J30" s="5"/>
      <c r="K30" s="5"/>
      <c r="L30" s="5"/>
      <c r="M30" s="5"/>
      <c r="N30" s="5"/>
      <c r="O30" s="5"/>
      <c r="P30" s="6"/>
    </row>
    <row r="31" customFormat="false" ht="12.75" hidden="false" customHeight="false" outlineLevel="0" collapsed="false">
      <c r="A31" s="4"/>
      <c r="B31" s="5"/>
      <c r="C31" s="5"/>
      <c r="D31" s="5"/>
      <c r="E31" s="5"/>
      <c r="F31" s="5"/>
      <c r="G31" s="5"/>
      <c r="H31" s="5"/>
      <c r="I31" s="5"/>
      <c r="J31" s="5"/>
      <c r="K31" s="5"/>
      <c r="L31" s="5"/>
      <c r="M31" s="5"/>
      <c r="N31" s="5"/>
      <c r="O31" s="5"/>
      <c r="P31" s="6"/>
    </row>
    <row r="32" customFormat="false" ht="12.75" hidden="false" customHeight="false" outlineLevel="0" collapsed="false">
      <c r="A32" s="4"/>
      <c r="B32" s="5" t="s">
        <v>18</v>
      </c>
      <c r="C32" s="5"/>
      <c r="D32" s="5"/>
      <c r="E32" s="5"/>
      <c r="F32" s="5"/>
      <c r="G32" s="5"/>
      <c r="H32" s="5"/>
      <c r="I32" s="5"/>
      <c r="J32" s="5"/>
      <c r="K32" s="5"/>
      <c r="L32" s="5"/>
      <c r="M32" s="5"/>
      <c r="N32" s="5"/>
      <c r="O32" s="5"/>
      <c r="P32" s="6"/>
    </row>
    <row r="33" customFormat="false" ht="13.15" hidden="false" customHeight="false" outlineLevel="0" collapsed="false">
      <c r="A33" s="4"/>
      <c r="B33" s="18"/>
      <c r="C33" s="5"/>
      <c r="D33" s="5"/>
      <c r="E33" s="5"/>
      <c r="F33" s="5"/>
      <c r="G33" s="5"/>
      <c r="H33" s="5"/>
      <c r="I33" s="5"/>
      <c r="J33" s="5"/>
      <c r="K33" s="5"/>
      <c r="L33" s="5"/>
      <c r="M33" s="5"/>
      <c r="N33" s="5"/>
      <c r="O33" s="5"/>
      <c r="P33" s="6"/>
    </row>
    <row r="34" customFormat="false" ht="12.75" hidden="false" customHeight="true" outlineLevel="0" collapsed="false">
      <c r="A34" s="4"/>
      <c r="B34" s="19" t="s">
        <v>19</v>
      </c>
      <c r="C34" s="19"/>
      <c r="D34" s="19"/>
      <c r="E34" s="19"/>
      <c r="F34" s="19"/>
      <c r="G34" s="19"/>
      <c r="H34" s="19"/>
      <c r="I34" s="19"/>
      <c r="J34" s="19"/>
      <c r="K34" s="19"/>
      <c r="L34" s="19"/>
      <c r="M34" s="19"/>
      <c r="N34" s="5"/>
      <c r="O34" s="5"/>
      <c r="P34" s="6"/>
    </row>
    <row r="35" customFormat="false" ht="12.75" hidden="false" customHeight="false" outlineLevel="0" collapsed="false">
      <c r="A35" s="4"/>
      <c r="B35" s="19"/>
      <c r="C35" s="19"/>
      <c r="D35" s="19"/>
      <c r="E35" s="19"/>
      <c r="F35" s="19"/>
      <c r="G35" s="19"/>
      <c r="H35" s="19"/>
      <c r="I35" s="19"/>
      <c r="J35" s="19"/>
      <c r="K35" s="19"/>
      <c r="L35" s="19"/>
      <c r="M35" s="19"/>
      <c r="N35" s="5"/>
      <c r="O35" s="5"/>
      <c r="P35" s="6"/>
    </row>
    <row r="36" customFormat="false" ht="12.75" hidden="false" customHeight="false" outlineLevel="0" collapsed="false">
      <c r="A36" s="4"/>
      <c r="B36" s="19"/>
      <c r="C36" s="19"/>
      <c r="D36" s="19"/>
      <c r="E36" s="19"/>
      <c r="F36" s="19"/>
      <c r="G36" s="19"/>
      <c r="H36" s="19"/>
      <c r="I36" s="19"/>
      <c r="J36" s="19"/>
      <c r="K36" s="19"/>
      <c r="L36" s="19"/>
      <c r="M36" s="19"/>
      <c r="N36" s="5"/>
      <c r="O36" s="5"/>
      <c r="P36" s="6"/>
    </row>
    <row r="37" customFormat="false" ht="12.75" hidden="false" customHeight="false" outlineLevel="0" collapsed="false">
      <c r="A37" s="4"/>
      <c r="B37" s="19"/>
      <c r="C37" s="19"/>
      <c r="D37" s="19"/>
      <c r="E37" s="19"/>
      <c r="F37" s="19"/>
      <c r="G37" s="19"/>
      <c r="H37" s="19"/>
      <c r="I37" s="19"/>
      <c r="J37" s="19"/>
      <c r="K37" s="19"/>
      <c r="L37" s="19"/>
      <c r="M37" s="19"/>
      <c r="N37" s="5"/>
      <c r="O37" s="5"/>
      <c r="P37" s="6"/>
    </row>
    <row r="38" customFormat="false" ht="12.75" hidden="false" customHeight="false" outlineLevel="0" collapsed="false">
      <c r="A38" s="4"/>
      <c r="B38" s="19"/>
      <c r="C38" s="19"/>
      <c r="D38" s="19"/>
      <c r="E38" s="19"/>
      <c r="F38" s="19"/>
      <c r="G38" s="19"/>
      <c r="H38" s="19"/>
      <c r="I38" s="19"/>
      <c r="J38" s="19"/>
      <c r="K38" s="19"/>
      <c r="L38" s="19"/>
      <c r="M38" s="19"/>
      <c r="N38" s="5"/>
      <c r="O38" s="5"/>
      <c r="P38" s="6"/>
    </row>
    <row r="39" customFormat="false" ht="12.75" hidden="false" customHeight="false" outlineLevel="0" collapsed="false">
      <c r="A39" s="4"/>
      <c r="B39" s="19"/>
      <c r="C39" s="19"/>
      <c r="D39" s="19"/>
      <c r="E39" s="19"/>
      <c r="F39" s="19"/>
      <c r="G39" s="19"/>
      <c r="H39" s="19"/>
      <c r="I39" s="19"/>
      <c r="J39" s="19"/>
      <c r="K39" s="19"/>
      <c r="L39" s="19"/>
      <c r="M39" s="19"/>
      <c r="N39" s="5"/>
      <c r="O39" s="5"/>
      <c r="P39" s="6"/>
    </row>
    <row r="40" customFormat="false" ht="12.75" hidden="false" customHeight="false" outlineLevel="0" collapsed="false">
      <c r="A40" s="4"/>
      <c r="B40" s="19"/>
      <c r="C40" s="19"/>
      <c r="D40" s="19"/>
      <c r="E40" s="19"/>
      <c r="F40" s="19"/>
      <c r="G40" s="19"/>
      <c r="H40" s="19"/>
      <c r="I40" s="19"/>
      <c r="J40" s="19"/>
      <c r="K40" s="19"/>
      <c r="L40" s="19"/>
      <c r="M40" s="19"/>
      <c r="N40" s="5"/>
      <c r="O40" s="5"/>
      <c r="P40" s="6"/>
    </row>
    <row r="41" customFormat="false" ht="12.75" hidden="false" customHeight="false" outlineLevel="0" collapsed="false">
      <c r="A41" s="4"/>
      <c r="B41" s="19"/>
      <c r="C41" s="19"/>
      <c r="D41" s="19"/>
      <c r="E41" s="19"/>
      <c r="F41" s="19"/>
      <c r="G41" s="19"/>
      <c r="H41" s="19"/>
      <c r="I41" s="19"/>
      <c r="J41" s="19"/>
      <c r="K41" s="19"/>
      <c r="L41" s="19"/>
      <c r="M41" s="19"/>
      <c r="N41" s="5"/>
      <c r="O41" s="5"/>
      <c r="P41" s="6"/>
    </row>
    <row r="42" customFormat="false" ht="12.75" hidden="false" customHeight="false" outlineLevel="0" collapsed="false">
      <c r="A42" s="4"/>
      <c r="B42" s="19"/>
      <c r="C42" s="19"/>
      <c r="D42" s="19"/>
      <c r="E42" s="19"/>
      <c r="F42" s="19"/>
      <c r="G42" s="19"/>
      <c r="H42" s="19"/>
      <c r="I42" s="19"/>
      <c r="J42" s="19"/>
      <c r="K42" s="19"/>
      <c r="L42" s="19"/>
      <c r="M42" s="19"/>
      <c r="N42" s="5"/>
      <c r="O42" s="5"/>
      <c r="P42" s="6"/>
    </row>
    <row r="43" customFormat="false" ht="12.75" hidden="false" customHeight="false" outlineLevel="0" collapsed="false">
      <c r="A43" s="4"/>
      <c r="B43" s="19"/>
      <c r="C43" s="19"/>
      <c r="D43" s="19"/>
      <c r="E43" s="19"/>
      <c r="F43" s="19"/>
      <c r="G43" s="19"/>
      <c r="H43" s="19"/>
      <c r="I43" s="19"/>
      <c r="J43" s="19"/>
      <c r="K43" s="19"/>
      <c r="L43" s="19"/>
      <c r="M43" s="19"/>
      <c r="N43" s="5"/>
      <c r="O43" s="5"/>
      <c r="P43" s="6"/>
    </row>
    <row r="44" customFormat="false" ht="12.75" hidden="false" customHeight="false" outlineLevel="0" collapsed="false">
      <c r="A44" s="4"/>
      <c r="B44" s="19"/>
      <c r="C44" s="19"/>
      <c r="D44" s="19"/>
      <c r="E44" s="19"/>
      <c r="F44" s="19"/>
      <c r="G44" s="19"/>
      <c r="H44" s="19"/>
      <c r="I44" s="19"/>
      <c r="J44" s="19"/>
      <c r="K44" s="19"/>
      <c r="L44" s="19"/>
      <c r="M44" s="19"/>
      <c r="N44" s="5"/>
      <c r="O44" s="5"/>
      <c r="P44" s="6"/>
    </row>
    <row r="45" customFormat="false" ht="12.75" hidden="false" customHeight="false" outlineLevel="0" collapsed="false">
      <c r="A45" s="4"/>
      <c r="B45" s="19"/>
      <c r="C45" s="19"/>
      <c r="D45" s="19"/>
      <c r="E45" s="19"/>
      <c r="F45" s="19"/>
      <c r="G45" s="19"/>
      <c r="H45" s="19"/>
      <c r="I45" s="19"/>
      <c r="J45" s="19"/>
      <c r="K45" s="19"/>
      <c r="L45" s="19"/>
      <c r="M45" s="19"/>
      <c r="N45" s="5"/>
      <c r="O45" s="5"/>
      <c r="P45" s="6"/>
    </row>
    <row r="46" customFormat="false" ht="12.75" hidden="false" customHeight="false" outlineLevel="0" collapsed="false">
      <c r="A46" s="4"/>
      <c r="B46" s="19"/>
      <c r="C46" s="19"/>
      <c r="D46" s="19"/>
      <c r="E46" s="19"/>
      <c r="F46" s="19"/>
      <c r="G46" s="19"/>
      <c r="H46" s="19"/>
      <c r="I46" s="19"/>
      <c r="J46" s="19"/>
      <c r="K46" s="19"/>
      <c r="L46" s="19"/>
      <c r="M46" s="19"/>
      <c r="N46" s="5"/>
      <c r="O46" s="5"/>
      <c r="P46" s="6"/>
    </row>
    <row r="47" customFormat="false" ht="12.75" hidden="false" customHeight="false" outlineLevel="0" collapsed="false">
      <c r="A47" s="4"/>
      <c r="B47" s="19"/>
      <c r="C47" s="19"/>
      <c r="D47" s="19"/>
      <c r="E47" s="19"/>
      <c r="F47" s="19"/>
      <c r="G47" s="19"/>
      <c r="H47" s="19"/>
      <c r="I47" s="19"/>
      <c r="J47" s="19"/>
      <c r="K47" s="19"/>
      <c r="L47" s="19"/>
      <c r="M47" s="19"/>
      <c r="N47" s="5"/>
      <c r="O47" s="5"/>
      <c r="P47" s="6"/>
    </row>
    <row r="48" customFormat="false" ht="12.75" hidden="false" customHeight="false" outlineLevel="0" collapsed="false">
      <c r="A48" s="4"/>
      <c r="B48" s="19"/>
      <c r="C48" s="19"/>
      <c r="D48" s="19"/>
      <c r="E48" s="19"/>
      <c r="F48" s="19"/>
      <c r="G48" s="19"/>
      <c r="H48" s="19"/>
      <c r="I48" s="19"/>
      <c r="J48" s="19"/>
      <c r="K48" s="19"/>
      <c r="L48" s="19"/>
      <c r="M48" s="19"/>
      <c r="N48" s="5"/>
      <c r="O48" s="5"/>
      <c r="P48" s="6"/>
    </row>
    <row r="49" customFormat="false" ht="12.75" hidden="false" customHeight="false" outlineLevel="0" collapsed="false">
      <c r="A49" s="4"/>
      <c r="B49" s="19"/>
      <c r="C49" s="19"/>
      <c r="D49" s="19"/>
      <c r="E49" s="19"/>
      <c r="F49" s="19"/>
      <c r="G49" s="19"/>
      <c r="H49" s="19"/>
      <c r="I49" s="19"/>
      <c r="J49" s="19"/>
      <c r="K49" s="19"/>
      <c r="L49" s="19"/>
      <c r="M49" s="19"/>
      <c r="N49" s="5"/>
      <c r="O49" s="5"/>
      <c r="P49" s="6"/>
    </row>
    <row r="50" customFormat="false" ht="12.75" hidden="false" customHeight="false" outlineLevel="0" collapsed="false">
      <c r="A50" s="4"/>
      <c r="B50" s="19"/>
      <c r="C50" s="19"/>
      <c r="D50" s="19"/>
      <c r="E50" s="19"/>
      <c r="F50" s="19"/>
      <c r="G50" s="19"/>
      <c r="H50" s="19"/>
      <c r="I50" s="19"/>
      <c r="J50" s="19"/>
      <c r="K50" s="19"/>
      <c r="L50" s="19"/>
      <c r="M50" s="19"/>
      <c r="N50" s="5"/>
      <c r="O50" s="5"/>
      <c r="P50" s="6"/>
    </row>
    <row r="51" customFormat="false" ht="12.75" hidden="false" customHeight="false" outlineLevel="0" collapsed="false">
      <c r="A51" s="4"/>
      <c r="B51" s="19"/>
      <c r="C51" s="19"/>
      <c r="D51" s="19"/>
      <c r="E51" s="19"/>
      <c r="F51" s="19"/>
      <c r="G51" s="19"/>
      <c r="H51" s="19"/>
      <c r="I51" s="19"/>
      <c r="J51" s="19"/>
      <c r="K51" s="19"/>
      <c r="L51" s="19"/>
      <c r="M51" s="19"/>
      <c r="N51" s="5"/>
      <c r="O51" s="5"/>
      <c r="P51" s="6"/>
    </row>
    <row r="52" customFormat="false" ht="12.75" hidden="false" customHeight="false" outlineLevel="0" collapsed="false">
      <c r="A52" s="4"/>
      <c r="B52" s="19"/>
      <c r="C52" s="19"/>
      <c r="D52" s="19"/>
      <c r="E52" s="19"/>
      <c r="F52" s="19"/>
      <c r="G52" s="19"/>
      <c r="H52" s="19"/>
      <c r="I52" s="19"/>
      <c r="J52" s="19"/>
      <c r="K52" s="19"/>
      <c r="L52" s="19"/>
      <c r="M52" s="19"/>
      <c r="N52" s="5"/>
      <c r="O52" s="5"/>
      <c r="P52" s="6"/>
    </row>
    <row r="53" customFormat="false" ht="12.75" hidden="false" customHeight="false" outlineLevel="0" collapsed="false">
      <c r="A53" s="4"/>
      <c r="B53" s="19"/>
      <c r="C53" s="19"/>
      <c r="D53" s="19"/>
      <c r="E53" s="19"/>
      <c r="F53" s="19"/>
      <c r="G53" s="19"/>
      <c r="H53" s="19"/>
      <c r="I53" s="19"/>
      <c r="J53" s="19"/>
      <c r="K53" s="19"/>
      <c r="L53" s="19"/>
      <c r="M53" s="19"/>
      <c r="N53" s="5"/>
      <c r="O53" s="5"/>
      <c r="P53" s="6"/>
    </row>
    <row r="54" customFormat="false" ht="12.75" hidden="false" customHeight="false" outlineLevel="0" collapsed="false">
      <c r="A54" s="4"/>
      <c r="B54" s="19"/>
      <c r="C54" s="19"/>
      <c r="D54" s="19"/>
      <c r="E54" s="19"/>
      <c r="F54" s="19"/>
      <c r="G54" s="19"/>
      <c r="H54" s="19"/>
      <c r="I54" s="19"/>
      <c r="J54" s="19"/>
      <c r="K54" s="19"/>
      <c r="L54" s="19"/>
      <c r="M54" s="19"/>
      <c r="N54" s="5"/>
      <c r="O54" s="5"/>
      <c r="P54" s="6"/>
    </row>
    <row r="55" customFormat="false" ht="12.75" hidden="false" customHeight="false" outlineLevel="0" collapsed="false">
      <c r="A55" s="4"/>
      <c r="B55" s="19"/>
      <c r="C55" s="19"/>
      <c r="D55" s="19"/>
      <c r="E55" s="19"/>
      <c r="F55" s="19"/>
      <c r="G55" s="19"/>
      <c r="H55" s="19"/>
      <c r="I55" s="19"/>
      <c r="J55" s="19"/>
      <c r="K55" s="19"/>
      <c r="L55" s="19"/>
      <c r="M55" s="19"/>
      <c r="N55" s="5"/>
      <c r="O55" s="5"/>
      <c r="P55" s="6"/>
    </row>
    <row r="56" customFormat="false" ht="12.75" hidden="false" customHeight="false" outlineLevel="0" collapsed="false">
      <c r="A56" s="4"/>
      <c r="B56" s="19"/>
      <c r="C56" s="19"/>
      <c r="D56" s="19"/>
      <c r="E56" s="19"/>
      <c r="F56" s="19"/>
      <c r="G56" s="19"/>
      <c r="H56" s="19"/>
      <c r="I56" s="19"/>
      <c r="J56" s="19"/>
      <c r="K56" s="19"/>
      <c r="L56" s="19"/>
      <c r="M56" s="19"/>
      <c r="N56" s="5"/>
      <c r="O56" s="5"/>
      <c r="P56" s="6"/>
    </row>
    <row r="57" customFormat="false" ht="12.75" hidden="false" customHeight="false" outlineLevel="0" collapsed="false">
      <c r="A57" s="4"/>
      <c r="B57" s="19"/>
      <c r="C57" s="19"/>
      <c r="D57" s="19"/>
      <c r="E57" s="19"/>
      <c r="F57" s="19"/>
      <c r="G57" s="19"/>
      <c r="H57" s="19"/>
      <c r="I57" s="19"/>
      <c r="J57" s="19"/>
      <c r="K57" s="19"/>
      <c r="L57" s="19"/>
      <c r="M57" s="19"/>
      <c r="N57" s="5"/>
      <c r="O57" s="5"/>
      <c r="P57" s="6"/>
    </row>
    <row r="58" customFormat="false" ht="12.75" hidden="false" customHeight="false" outlineLevel="0" collapsed="false">
      <c r="A58" s="4"/>
      <c r="B58" s="19"/>
      <c r="C58" s="19"/>
      <c r="D58" s="19"/>
      <c r="E58" s="19"/>
      <c r="F58" s="19"/>
      <c r="G58" s="19"/>
      <c r="H58" s="19"/>
      <c r="I58" s="19"/>
      <c r="J58" s="19"/>
      <c r="K58" s="19"/>
      <c r="L58" s="19"/>
      <c r="M58" s="19"/>
      <c r="N58" s="5"/>
      <c r="O58" s="5"/>
      <c r="P58" s="6"/>
    </row>
    <row r="59" customFormat="false" ht="12.75" hidden="false" customHeight="false" outlineLevel="0" collapsed="false">
      <c r="A59" s="4"/>
      <c r="B59" s="19"/>
      <c r="C59" s="19"/>
      <c r="D59" s="19"/>
      <c r="E59" s="19"/>
      <c r="F59" s="19"/>
      <c r="G59" s="19"/>
      <c r="H59" s="19"/>
      <c r="I59" s="19"/>
      <c r="J59" s="19"/>
      <c r="K59" s="19"/>
      <c r="L59" s="19"/>
      <c r="M59" s="19"/>
      <c r="N59" s="5"/>
      <c r="O59" s="5"/>
      <c r="P59" s="6"/>
    </row>
    <row r="60" customFormat="false" ht="12.75" hidden="false" customHeight="false" outlineLevel="0" collapsed="false">
      <c r="A60" s="4"/>
      <c r="B60" s="19"/>
      <c r="C60" s="19"/>
      <c r="D60" s="19"/>
      <c r="E60" s="19"/>
      <c r="F60" s="19"/>
      <c r="G60" s="19"/>
      <c r="H60" s="19"/>
      <c r="I60" s="19"/>
      <c r="J60" s="19"/>
      <c r="K60" s="19"/>
      <c r="L60" s="19"/>
      <c r="M60" s="19"/>
      <c r="N60" s="5"/>
      <c r="O60" s="5"/>
      <c r="P60" s="6"/>
    </row>
    <row r="61" customFormat="false" ht="12.75" hidden="false" customHeight="false" outlineLevel="0" collapsed="false">
      <c r="A61" s="4"/>
      <c r="B61" s="19"/>
      <c r="C61" s="19"/>
      <c r="D61" s="19"/>
      <c r="E61" s="19"/>
      <c r="F61" s="19"/>
      <c r="G61" s="19"/>
      <c r="H61" s="19"/>
      <c r="I61" s="19"/>
      <c r="J61" s="19"/>
      <c r="K61" s="19"/>
      <c r="L61" s="19"/>
      <c r="M61" s="19"/>
      <c r="N61" s="5"/>
      <c r="O61" s="5"/>
      <c r="P61" s="6"/>
    </row>
    <row r="62" customFormat="false" ht="12.75" hidden="false" customHeight="false" outlineLevel="0" collapsed="false">
      <c r="A62" s="4"/>
      <c r="B62" s="19"/>
      <c r="C62" s="19"/>
      <c r="D62" s="19"/>
      <c r="E62" s="19"/>
      <c r="F62" s="19"/>
      <c r="G62" s="19"/>
      <c r="H62" s="19"/>
      <c r="I62" s="19"/>
      <c r="J62" s="19"/>
      <c r="K62" s="19"/>
      <c r="L62" s="19"/>
      <c r="M62" s="19"/>
      <c r="N62" s="5"/>
      <c r="O62" s="5"/>
      <c r="P62" s="6"/>
    </row>
    <row r="63" customFormat="false" ht="12.75" hidden="false" customHeight="false" outlineLevel="0" collapsed="false">
      <c r="A63" s="4"/>
      <c r="B63" s="19"/>
      <c r="C63" s="19"/>
      <c r="D63" s="19"/>
      <c r="E63" s="19"/>
      <c r="F63" s="19"/>
      <c r="G63" s="19"/>
      <c r="H63" s="19"/>
      <c r="I63" s="19"/>
      <c r="J63" s="19"/>
      <c r="K63" s="19"/>
      <c r="L63" s="19"/>
      <c r="M63" s="19"/>
      <c r="N63" s="5"/>
      <c r="O63" s="5"/>
      <c r="P63" s="6"/>
    </row>
    <row r="64" customFormat="false" ht="12.75" hidden="false" customHeight="false" outlineLevel="0" collapsed="false">
      <c r="A64" s="4"/>
      <c r="B64" s="19"/>
      <c r="C64" s="19"/>
      <c r="D64" s="19"/>
      <c r="E64" s="19"/>
      <c r="F64" s="19"/>
      <c r="G64" s="19"/>
      <c r="H64" s="19"/>
      <c r="I64" s="19"/>
      <c r="J64" s="19"/>
      <c r="K64" s="19"/>
      <c r="L64" s="19"/>
      <c r="M64" s="19"/>
      <c r="N64" s="5"/>
      <c r="O64" s="5"/>
      <c r="P64" s="6"/>
    </row>
    <row r="65" customFormat="false" ht="12.75" hidden="false" customHeight="false" outlineLevel="0" collapsed="false">
      <c r="A65" s="4"/>
      <c r="B65" s="19"/>
      <c r="C65" s="19"/>
      <c r="D65" s="19"/>
      <c r="E65" s="19"/>
      <c r="F65" s="19"/>
      <c r="G65" s="19"/>
      <c r="H65" s="19"/>
      <c r="I65" s="19"/>
      <c r="J65" s="19"/>
      <c r="K65" s="19"/>
      <c r="L65" s="19"/>
      <c r="M65" s="19"/>
      <c r="N65" s="5"/>
      <c r="O65" s="5"/>
      <c r="P65" s="6"/>
    </row>
    <row r="66" customFormat="false" ht="12.75" hidden="false" customHeight="false" outlineLevel="0" collapsed="false">
      <c r="A66" s="4"/>
      <c r="B66" s="19"/>
      <c r="C66" s="19"/>
      <c r="D66" s="19"/>
      <c r="E66" s="19"/>
      <c r="F66" s="19"/>
      <c r="G66" s="19"/>
      <c r="H66" s="19"/>
      <c r="I66" s="19"/>
      <c r="J66" s="19"/>
      <c r="K66" s="19"/>
      <c r="L66" s="19"/>
      <c r="M66" s="19"/>
      <c r="N66" s="5"/>
      <c r="O66" s="5"/>
      <c r="P66" s="6"/>
    </row>
    <row r="67" customFormat="false" ht="12.75" hidden="false" customHeight="false" outlineLevel="0" collapsed="false">
      <c r="A67" s="4"/>
      <c r="B67" s="19"/>
      <c r="C67" s="19"/>
      <c r="D67" s="19"/>
      <c r="E67" s="19"/>
      <c r="F67" s="19"/>
      <c r="G67" s="19"/>
      <c r="H67" s="19"/>
      <c r="I67" s="19"/>
      <c r="J67" s="19"/>
      <c r="K67" s="19"/>
      <c r="L67" s="19"/>
      <c r="M67" s="19"/>
      <c r="N67" s="5"/>
      <c r="O67" s="5"/>
      <c r="P67" s="6"/>
    </row>
    <row r="68" customFormat="false" ht="12.75" hidden="false" customHeight="false" outlineLevel="0" collapsed="false">
      <c r="A68" s="4"/>
      <c r="B68" s="19"/>
      <c r="C68" s="19"/>
      <c r="D68" s="19"/>
      <c r="E68" s="19"/>
      <c r="F68" s="19"/>
      <c r="G68" s="19"/>
      <c r="H68" s="19"/>
      <c r="I68" s="19"/>
      <c r="J68" s="19"/>
      <c r="K68" s="19"/>
      <c r="L68" s="19"/>
      <c r="M68" s="19"/>
      <c r="N68" s="5"/>
      <c r="O68" s="5"/>
      <c r="P68" s="6"/>
    </row>
    <row r="69" customFormat="false" ht="12.75" hidden="false" customHeight="false" outlineLevel="0" collapsed="false">
      <c r="A69" s="4"/>
      <c r="B69" s="19"/>
      <c r="C69" s="19"/>
      <c r="D69" s="19"/>
      <c r="E69" s="19"/>
      <c r="F69" s="19"/>
      <c r="G69" s="19"/>
      <c r="H69" s="19"/>
      <c r="I69" s="19"/>
      <c r="J69" s="19"/>
      <c r="K69" s="19"/>
      <c r="L69" s="19"/>
      <c r="M69" s="19"/>
      <c r="N69" s="5"/>
      <c r="O69" s="5"/>
      <c r="P69" s="6"/>
    </row>
    <row r="70" customFormat="false" ht="12.75" hidden="false" customHeight="false" outlineLevel="0" collapsed="false">
      <c r="A70" s="4"/>
      <c r="B70" s="19"/>
      <c r="C70" s="19"/>
      <c r="D70" s="19"/>
      <c r="E70" s="19"/>
      <c r="F70" s="19"/>
      <c r="G70" s="19"/>
      <c r="H70" s="19"/>
      <c r="I70" s="19"/>
      <c r="J70" s="19"/>
      <c r="K70" s="19"/>
      <c r="L70" s="19"/>
      <c r="M70" s="19"/>
      <c r="N70" s="5"/>
      <c r="O70" s="5"/>
      <c r="P70" s="6"/>
    </row>
    <row r="71" customFormat="false" ht="12.75" hidden="false" customHeight="false" outlineLevel="0" collapsed="false">
      <c r="A71" s="4"/>
      <c r="B71" s="19"/>
      <c r="C71" s="19"/>
      <c r="D71" s="19"/>
      <c r="E71" s="19"/>
      <c r="F71" s="19"/>
      <c r="G71" s="19"/>
      <c r="H71" s="19"/>
      <c r="I71" s="19"/>
      <c r="J71" s="19"/>
      <c r="K71" s="19"/>
      <c r="L71" s="19"/>
      <c r="M71" s="19"/>
      <c r="N71" s="5"/>
      <c r="O71" s="5"/>
      <c r="P71" s="6"/>
    </row>
    <row r="72" customFormat="false" ht="12.75" hidden="false" customHeight="false" outlineLevel="0" collapsed="false">
      <c r="A72" s="4"/>
      <c r="B72" s="19"/>
      <c r="C72" s="19"/>
      <c r="D72" s="19"/>
      <c r="E72" s="19"/>
      <c r="F72" s="19"/>
      <c r="G72" s="19"/>
      <c r="H72" s="19"/>
      <c r="I72" s="19"/>
      <c r="J72" s="19"/>
      <c r="K72" s="19"/>
      <c r="L72" s="19"/>
      <c r="M72" s="19"/>
      <c r="N72" s="5"/>
      <c r="O72" s="5"/>
      <c r="P72" s="6"/>
    </row>
    <row r="73" customFormat="false" ht="12.75" hidden="false" customHeight="false" outlineLevel="0" collapsed="false">
      <c r="A73" s="4"/>
      <c r="B73" s="19"/>
      <c r="C73" s="19"/>
      <c r="D73" s="19"/>
      <c r="E73" s="19"/>
      <c r="F73" s="19"/>
      <c r="G73" s="19"/>
      <c r="H73" s="19"/>
      <c r="I73" s="19"/>
      <c r="J73" s="19"/>
      <c r="K73" s="19"/>
      <c r="L73" s="19"/>
      <c r="M73" s="19"/>
      <c r="N73" s="5"/>
      <c r="O73" s="5"/>
      <c r="P73" s="6"/>
    </row>
    <row r="74" customFormat="false" ht="12.75" hidden="false" customHeight="false" outlineLevel="0" collapsed="false">
      <c r="A74" s="4"/>
      <c r="B74" s="19"/>
      <c r="C74" s="19"/>
      <c r="D74" s="19"/>
      <c r="E74" s="19"/>
      <c r="F74" s="19"/>
      <c r="G74" s="19"/>
      <c r="H74" s="19"/>
      <c r="I74" s="19"/>
      <c r="J74" s="19"/>
      <c r="K74" s="19"/>
      <c r="L74" s="19"/>
      <c r="M74" s="19"/>
      <c r="N74" s="5"/>
      <c r="O74" s="5"/>
      <c r="P74" s="6"/>
    </row>
    <row r="75" customFormat="false" ht="12.75" hidden="false" customHeight="false" outlineLevel="0" collapsed="false">
      <c r="A75" s="4"/>
      <c r="B75" s="19"/>
      <c r="C75" s="19"/>
      <c r="D75" s="19"/>
      <c r="E75" s="19"/>
      <c r="F75" s="19"/>
      <c r="G75" s="19"/>
      <c r="H75" s="19"/>
      <c r="I75" s="19"/>
      <c r="J75" s="19"/>
      <c r="K75" s="19"/>
      <c r="L75" s="19"/>
      <c r="M75" s="19"/>
      <c r="N75" s="5"/>
      <c r="O75" s="5"/>
      <c r="P75" s="6"/>
    </row>
    <row r="76" customFormat="false" ht="12.75" hidden="false" customHeight="false" outlineLevel="0" collapsed="false">
      <c r="A76" s="4"/>
      <c r="B76" s="19"/>
      <c r="C76" s="19"/>
      <c r="D76" s="19"/>
      <c r="E76" s="19"/>
      <c r="F76" s="19"/>
      <c r="G76" s="19"/>
      <c r="H76" s="19"/>
      <c r="I76" s="19"/>
      <c r="J76" s="19"/>
      <c r="K76" s="19"/>
      <c r="L76" s="19"/>
      <c r="M76" s="19"/>
      <c r="N76" s="5"/>
      <c r="O76" s="5"/>
      <c r="P76" s="6"/>
    </row>
    <row r="77" customFormat="false" ht="12.75" hidden="false" customHeight="false" outlineLevel="0" collapsed="false">
      <c r="A77" s="4"/>
      <c r="B77" s="19"/>
      <c r="C77" s="19"/>
      <c r="D77" s="19"/>
      <c r="E77" s="19"/>
      <c r="F77" s="19"/>
      <c r="G77" s="19"/>
      <c r="H77" s="19"/>
      <c r="I77" s="19"/>
      <c r="J77" s="19"/>
      <c r="K77" s="19"/>
      <c r="L77" s="19"/>
      <c r="M77" s="19"/>
      <c r="N77" s="5"/>
      <c r="O77" s="5"/>
      <c r="P77" s="6"/>
    </row>
    <row r="78" customFormat="false" ht="12.75" hidden="false" customHeight="false" outlineLevel="0" collapsed="false">
      <c r="A78" s="4"/>
      <c r="B78" s="19"/>
      <c r="C78" s="19"/>
      <c r="D78" s="19"/>
      <c r="E78" s="19"/>
      <c r="F78" s="19"/>
      <c r="G78" s="19"/>
      <c r="H78" s="19"/>
      <c r="I78" s="19"/>
      <c r="J78" s="19"/>
      <c r="K78" s="19"/>
      <c r="L78" s="19"/>
      <c r="M78" s="19"/>
      <c r="N78" s="5"/>
      <c r="O78" s="5"/>
      <c r="P78" s="6"/>
    </row>
    <row r="79" customFormat="false" ht="12.75" hidden="false" customHeight="false" outlineLevel="0" collapsed="false">
      <c r="A79" s="4"/>
      <c r="B79" s="19"/>
      <c r="C79" s="19"/>
      <c r="D79" s="19"/>
      <c r="E79" s="19"/>
      <c r="F79" s="19"/>
      <c r="G79" s="19"/>
      <c r="H79" s="19"/>
      <c r="I79" s="19"/>
      <c r="J79" s="19"/>
      <c r="K79" s="19"/>
      <c r="L79" s="19"/>
      <c r="M79" s="19"/>
      <c r="N79" s="5"/>
      <c r="O79" s="5"/>
      <c r="P79" s="6"/>
    </row>
    <row r="80" customFormat="false" ht="12.75" hidden="false" customHeight="false" outlineLevel="0" collapsed="false">
      <c r="A80" s="4"/>
      <c r="B80" s="19"/>
      <c r="C80" s="19"/>
      <c r="D80" s="19"/>
      <c r="E80" s="19"/>
      <c r="F80" s="19"/>
      <c r="G80" s="19"/>
      <c r="H80" s="19"/>
      <c r="I80" s="19"/>
      <c r="J80" s="19"/>
      <c r="K80" s="19"/>
      <c r="L80" s="19"/>
      <c r="M80" s="19"/>
      <c r="N80" s="5"/>
      <c r="O80" s="5"/>
      <c r="P80" s="6"/>
    </row>
    <row r="81" customFormat="false" ht="12.75" hidden="false" customHeight="false" outlineLevel="0" collapsed="false">
      <c r="A81" s="4"/>
      <c r="B81" s="19"/>
      <c r="C81" s="19"/>
      <c r="D81" s="19"/>
      <c r="E81" s="19"/>
      <c r="F81" s="19"/>
      <c r="G81" s="19"/>
      <c r="H81" s="19"/>
      <c r="I81" s="19"/>
      <c r="J81" s="19"/>
      <c r="K81" s="19"/>
      <c r="L81" s="19"/>
      <c r="M81" s="19"/>
      <c r="N81" s="5"/>
      <c r="O81" s="5"/>
      <c r="P81" s="6"/>
    </row>
    <row r="82" customFormat="false" ht="12.75" hidden="false" customHeight="false" outlineLevel="0" collapsed="false">
      <c r="A82" s="4"/>
      <c r="B82" s="19"/>
      <c r="C82" s="19"/>
      <c r="D82" s="19"/>
      <c r="E82" s="19"/>
      <c r="F82" s="19"/>
      <c r="G82" s="19"/>
      <c r="H82" s="19"/>
      <c r="I82" s="19"/>
      <c r="J82" s="19"/>
      <c r="K82" s="19"/>
      <c r="L82" s="19"/>
      <c r="M82" s="19"/>
      <c r="N82" s="5"/>
      <c r="O82" s="5"/>
      <c r="P82" s="6"/>
    </row>
    <row r="83" customFormat="false" ht="12.75" hidden="false" customHeight="false" outlineLevel="0" collapsed="false">
      <c r="A83" s="4"/>
      <c r="B83" s="19"/>
      <c r="C83" s="19"/>
      <c r="D83" s="19"/>
      <c r="E83" s="19"/>
      <c r="F83" s="19"/>
      <c r="G83" s="19"/>
      <c r="H83" s="19"/>
      <c r="I83" s="19"/>
      <c r="J83" s="19"/>
      <c r="K83" s="19"/>
      <c r="L83" s="19"/>
      <c r="M83" s="19"/>
      <c r="N83" s="5"/>
      <c r="O83" s="5"/>
      <c r="P83" s="6"/>
    </row>
    <row r="84" customFormat="false" ht="12.75" hidden="false" customHeight="false" outlineLevel="0" collapsed="false">
      <c r="A84" s="4"/>
      <c r="B84" s="19"/>
      <c r="C84" s="19"/>
      <c r="D84" s="19"/>
      <c r="E84" s="19"/>
      <c r="F84" s="19"/>
      <c r="G84" s="19"/>
      <c r="H84" s="19"/>
      <c r="I84" s="19"/>
      <c r="J84" s="19"/>
      <c r="K84" s="19"/>
      <c r="L84" s="19"/>
      <c r="M84" s="19"/>
      <c r="N84" s="5"/>
      <c r="O84" s="5"/>
      <c r="P84" s="6"/>
    </row>
    <row r="85" customFormat="false" ht="12.75" hidden="false" customHeight="false" outlineLevel="0" collapsed="false">
      <c r="A85" s="4"/>
      <c r="B85" s="19"/>
      <c r="C85" s="19"/>
      <c r="D85" s="19"/>
      <c r="E85" s="19"/>
      <c r="F85" s="19"/>
      <c r="G85" s="19"/>
      <c r="H85" s="19"/>
      <c r="I85" s="19"/>
      <c r="J85" s="19"/>
      <c r="K85" s="19"/>
      <c r="L85" s="19"/>
      <c r="M85" s="19"/>
      <c r="N85" s="5"/>
      <c r="O85" s="5"/>
      <c r="P85" s="6"/>
    </row>
    <row r="86" customFormat="false" ht="12.75" hidden="false" customHeight="false" outlineLevel="0" collapsed="false">
      <c r="A86" s="4"/>
      <c r="B86" s="19"/>
      <c r="C86" s="19"/>
      <c r="D86" s="19"/>
      <c r="E86" s="19"/>
      <c r="F86" s="19"/>
      <c r="G86" s="19"/>
      <c r="H86" s="19"/>
      <c r="I86" s="19"/>
      <c r="J86" s="19"/>
      <c r="K86" s="19"/>
      <c r="L86" s="19"/>
      <c r="M86" s="19"/>
      <c r="N86" s="5"/>
      <c r="O86" s="5"/>
      <c r="P86" s="6"/>
    </row>
    <row r="87" customFormat="false" ht="12.75" hidden="false" customHeight="false" outlineLevel="0" collapsed="false">
      <c r="A87" s="4"/>
      <c r="B87" s="19"/>
      <c r="C87" s="19"/>
      <c r="D87" s="19"/>
      <c r="E87" s="19"/>
      <c r="F87" s="19"/>
      <c r="G87" s="19"/>
      <c r="H87" s="19"/>
      <c r="I87" s="19"/>
      <c r="J87" s="19"/>
      <c r="K87" s="19"/>
      <c r="L87" s="19"/>
      <c r="M87" s="19"/>
      <c r="N87" s="5"/>
      <c r="O87" s="5"/>
      <c r="P87" s="6"/>
    </row>
    <row r="88" customFormat="false" ht="12.75" hidden="false" customHeight="false" outlineLevel="0" collapsed="false">
      <c r="A88" s="4"/>
      <c r="B88" s="19"/>
      <c r="C88" s="19"/>
      <c r="D88" s="19"/>
      <c r="E88" s="19"/>
      <c r="F88" s="19"/>
      <c r="G88" s="19"/>
      <c r="H88" s="19"/>
      <c r="I88" s="19"/>
      <c r="J88" s="19"/>
      <c r="K88" s="19"/>
      <c r="L88" s="19"/>
      <c r="M88" s="19"/>
      <c r="N88" s="5"/>
      <c r="O88" s="5"/>
      <c r="P88" s="6"/>
    </row>
    <row r="89" customFormat="false" ht="12.75" hidden="false" customHeight="false" outlineLevel="0" collapsed="false">
      <c r="A89" s="4"/>
      <c r="B89" s="19"/>
      <c r="C89" s="19"/>
      <c r="D89" s="19"/>
      <c r="E89" s="19"/>
      <c r="F89" s="19"/>
      <c r="G89" s="19"/>
      <c r="H89" s="19"/>
      <c r="I89" s="19"/>
      <c r="J89" s="19"/>
      <c r="K89" s="19"/>
      <c r="L89" s="19"/>
      <c r="M89" s="19"/>
      <c r="N89" s="5"/>
      <c r="O89" s="5"/>
      <c r="P89" s="6"/>
    </row>
    <row r="90" customFormat="false" ht="12.75" hidden="false" customHeight="false" outlineLevel="0" collapsed="false">
      <c r="A90" s="4"/>
      <c r="B90" s="19"/>
      <c r="C90" s="19"/>
      <c r="D90" s="19"/>
      <c r="E90" s="19"/>
      <c r="F90" s="19"/>
      <c r="G90" s="19"/>
      <c r="H90" s="19"/>
      <c r="I90" s="19"/>
      <c r="J90" s="19"/>
      <c r="K90" s="19"/>
      <c r="L90" s="19"/>
      <c r="M90" s="19"/>
      <c r="N90" s="5"/>
      <c r="O90" s="5"/>
      <c r="P90" s="6"/>
    </row>
    <row r="91" customFormat="false" ht="12.75" hidden="false" customHeight="false" outlineLevel="0" collapsed="false">
      <c r="A91" s="4"/>
      <c r="B91" s="19"/>
      <c r="C91" s="19"/>
      <c r="D91" s="19"/>
      <c r="E91" s="19"/>
      <c r="F91" s="19"/>
      <c r="G91" s="19"/>
      <c r="H91" s="19"/>
      <c r="I91" s="19"/>
      <c r="J91" s="19"/>
      <c r="K91" s="19"/>
      <c r="L91" s="19"/>
      <c r="M91" s="19"/>
      <c r="N91" s="5"/>
      <c r="O91" s="5"/>
      <c r="P91" s="6"/>
    </row>
    <row r="92" customFormat="false" ht="12.75" hidden="false" customHeight="false" outlineLevel="0" collapsed="false">
      <c r="A92" s="4"/>
      <c r="B92" s="19"/>
      <c r="C92" s="19"/>
      <c r="D92" s="19"/>
      <c r="E92" s="19"/>
      <c r="F92" s="19"/>
      <c r="G92" s="19"/>
      <c r="H92" s="19"/>
      <c r="I92" s="19"/>
      <c r="J92" s="19"/>
      <c r="K92" s="19"/>
      <c r="L92" s="19"/>
      <c r="M92" s="19"/>
      <c r="N92" s="5"/>
      <c r="O92" s="5"/>
      <c r="P92" s="6"/>
    </row>
    <row r="93" customFormat="false" ht="12.75" hidden="false" customHeight="false" outlineLevel="0" collapsed="false">
      <c r="A93" s="4"/>
      <c r="B93" s="19"/>
      <c r="C93" s="19"/>
      <c r="D93" s="19"/>
      <c r="E93" s="19"/>
      <c r="F93" s="19"/>
      <c r="G93" s="19"/>
      <c r="H93" s="19"/>
      <c r="I93" s="19"/>
      <c r="J93" s="19"/>
      <c r="K93" s="19"/>
      <c r="L93" s="19"/>
      <c r="M93" s="19"/>
      <c r="N93" s="5"/>
      <c r="O93" s="5"/>
      <c r="P93" s="6"/>
    </row>
    <row r="94" customFormat="false" ht="12.75" hidden="false" customHeight="false" outlineLevel="0" collapsed="false">
      <c r="A94" s="4"/>
      <c r="B94" s="19"/>
      <c r="C94" s="19"/>
      <c r="D94" s="19"/>
      <c r="E94" s="19"/>
      <c r="F94" s="19"/>
      <c r="G94" s="19"/>
      <c r="H94" s="19"/>
      <c r="I94" s="19"/>
      <c r="J94" s="19"/>
      <c r="K94" s="19"/>
      <c r="L94" s="19"/>
      <c r="M94" s="19"/>
      <c r="N94" s="5"/>
      <c r="O94" s="5"/>
      <c r="P94" s="6"/>
    </row>
    <row r="95" customFormat="false" ht="12.75" hidden="false" customHeight="false" outlineLevel="0" collapsed="false">
      <c r="A95" s="4"/>
      <c r="B95" s="19"/>
      <c r="C95" s="19"/>
      <c r="D95" s="19"/>
      <c r="E95" s="19"/>
      <c r="F95" s="19"/>
      <c r="G95" s="19"/>
      <c r="H95" s="19"/>
      <c r="I95" s="19"/>
      <c r="J95" s="19"/>
      <c r="K95" s="19"/>
      <c r="L95" s="19"/>
      <c r="M95" s="19"/>
      <c r="N95" s="5"/>
      <c r="O95" s="5"/>
      <c r="P95" s="6"/>
    </row>
    <row r="96" customFormat="false" ht="13.15" hidden="false" customHeight="false" outlineLevel="0" collapsed="false">
      <c r="A96" s="20"/>
      <c r="B96" s="19"/>
      <c r="C96" s="19"/>
      <c r="D96" s="19"/>
      <c r="E96" s="19"/>
      <c r="F96" s="19"/>
      <c r="G96" s="19"/>
      <c r="H96" s="19"/>
      <c r="I96" s="19"/>
      <c r="J96" s="19"/>
      <c r="K96" s="19"/>
      <c r="L96" s="19"/>
      <c r="M96" s="19"/>
      <c r="N96" s="21"/>
      <c r="O96" s="21"/>
      <c r="P96" s="22"/>
    </row>
    <row r="97" customFormat="false" ht="13.15" hidden="false" customHeight="false" outlineLevel="0" collapsed="false">
      <c r="A97" s="23"/>
      <c r="B97" s="23"/>
      <c r="C97" s="23"/>
      <c r="D97" s="23"/>
      <c r="E97" s="23"/>
      <c r="F97" s="23"/>
      <c r="G97" s="23"/>
      <c r="H97" s="23"/>
      <c r="I97" s="23"/>
      <c r="J97" s="23"/>
      <c r="K97" s="23"/>
      <c r="L97" s="23"/>
      <c r="M97" s="23"/>
      <c r="N97" s="23"/>
      <c r="O97" s="23"/>
      <c r="P97" s="23"/>
    </row>
  </sheetData>
  <mergeCells count="3">
    <mergeCell ref="B14:D14"/>
    <mergeCell ref="B15:I15"/>
    <mergeCell ref="B34:M96"/>
  </mergeCells>
  <hyperlinks>
    <hyperlink ref="B14" r:id="rId1" display="Robust Hot Swap Desig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199"/>
  <sheetViews>
    <sheetView showFormulas="false" showGridLines="true" showRowColHeaders="true" showZeros="true" rightToLeft="false" tabSelected="true" showOutlineSymbols="true" defaultGridColor="true" view="normal" topLeftCell="A91" colorId="64" zoomScale="100" zoomScaleNormal="100" zoomScalePageLayoutView="100" workbookViewId="0">
      <selection pane="topLeft" activeCell="AQ104" activeCellId="0" sqref="AQ104"/>
    </sheetView>
  </sheetViews>
  <sheetFormatPr defaultColWidth="8.875" defaultRowHeight="12.75" zeroHeight="false" outlineLevelRow="0" outlineLevelCol="0"/>
  <cols>
    <col collapsed="false" customWidth="true" hidden="false" outlineLevel="0" max="1" min="1" style="24" width="0.4"/>
    <col collapsed="false" customWidth="true" hidden="false" outlineLevel="0" max="2" min="2" style="24" width="26.39"/>
    <col collapsed="false" customWidth="true" hidden="false" outlineLevel="0" max="3" min="3" style="24" width="31.01"/>
    <col collapsed="false" customWidth="true" hidden="false" outlineLevel="0" max="4" min="4" style="24" width="16.6"/>
    <col collapsed="false" customWidth="true" hidden="false" outlineLevel="0" max="5" min="5" style="24" width="20.86"/>
    <col collapsed="false" customWidth="true" hidden="false" outlineLevel="0" max="6" min="6" style="24" width="15.73"/>
    <col collapsed="false" customWidth="true" hidden="false" outlineLevel="0" max="7" min="7" style="25" width="5.6"/>
    <col collapsed="false" customWidth="true" hidden="false" outlineLevel="0" max="8" min="8" style="24" width="9.59"/>
    <col collapsed="false" customWidth="true" hidden="false" outlineLevel="0" max="9" min="9" style="24" width="12.86"/>
    <col collapsed="false" customWidth="false" hidden="false" outlineLevel="0" max="10" min="10" style="24" width="8.86"/>
    <col collapsed="false" customWidth="true" hidden="false" outlineLevel="0" max="11" min="11" style="24" width="10.27"/>
    <col collapsed="false" customWidth="false" hidden="false" outlineLevel="0" max="12" min="12" style="24" width="8.86"/>
    <col collapsed="false" customWidth="true" hidden="false" outlineLevel="0" max="13" min="13" style="24" width="9.86"/>
    <col collapsed="false" customWidth="true" hidden="true" outlineLevel="0" max="19" min="14" style="24" width="11.52"/>
    <col collapsed="false" customWidth="true" hidden="true" outlineLevel="0" max="20" min="20" style="24" width="2.72"/>
    <col collapsed="false" customWidth="true" hidden="true" outlineLevel="0" max="21" min="21" style="24" width="2.99"/>
    <col collapsed="false" customWidth="true" hidden="true" outlineLevel="0" max="22" min="22" style="24" width="1.12"/>
    <col collapsed="false" customWidth="true" hidden="true" outlineLevel="0" max="23" min="23" style="24" width="3.71"/>
    <col collapsed="false" customWidth="true" hidden="true" outlineLevel="0" max="38" min="24" style="24" width="11.52"/>
    <col collapsed="false" customWidth="true" hidden="false" outlineLevel="0" max="39" min="39" style="24" width="11.72"/>
    <col collapsed="false" customWidth="true" hidden="true" outlineLevel="0" max="40" min="40" style="24" width="6.73"/>
    <col collapsed="false" customWidth="true" hidden="true" outlineLevel="0" max="41" min="41" style="24" width="9.27"/>
    <col collapsed="false" customWidth="true" hidden="false" outlineLevel="0" max="42" min="42" style="24" width="12.27"/>
    <col collapsed="false" customWidth="true" hidden="false" outlineLevel="0" max="43" min="43" style="24" width="11.99"/>
    <col collapsed="false" customWidth="true" hidden="false" outlineLevel="0" max="44" min="44" style="24" width="13.4"/>
    <col collapsed="false" customWidth="true" hidden="true" outlineLevel="0" max="45" min="45" style="24" width="14.62"/>
    <col collapsed="false" customWidth="true" hidden="false" outlineLevel="0" max="46" min="46" style="24" width="14.73"/>
    <col collapsed="false" customWidth="true" hidden="false" outlineLevel="0" max="47" min="47" style="24" width="11.27"/>
    <col collapsed="false" customWidth="true" hidden="false" outlineLevel="0" max="48" min="48" style="24" width="13.02"/>
    <col collapsed="false" customWidth="true" hidden="false" outlineLevel="0" max="49" min="49" style="24" width="13.4"/>
    <col collapsed="false" customWidth="true" hidden="false" outlineLevel="0" max="50" min="50" style="24" width="14.73"/>
    <col collapsed="false" customWidth="true" hidden="false" outlineLevel="0" max="51" min="51" style="24" width="14.13"/>
    <col collapsed="false" customWidth="true" hidden="false" outlineLevel="0" max="52" min="52" style="24" width="12.86"/>
    <col collapsed="false" customWidth="true" hidden="false" outlineLevel="0" max="53" min="53" style="24" width="12.6"/>
    <col collapsed="false" customWidth="true" hidden="false" outlineLevel="0" max="54" min="54" style="24" width="9.86"/>
    <col collapsed="false" customWidth="true" hidden="false" outlineLevel="0" max="55" min="55" style="24" width="12.71"/>
    <col collapsed="false" customWidth="true" hidden="false" outlineLevel="0" max="56" min="56" style="24" width="13.73"/>
    <col collapsed="false" customWidth="true" hidden="false" outlineLevel="0" max="57" min="57" style="24" width="13.86"/>
    <col collapsed="false" customWidth="true" hidden="false" outlineLevel="0" max="59" min="58" style="24" width="14.4"/>
    <col collapsed="false" customWidth="true" hidden="false" outlineLevel="0" max="60" min="60" style="24" width="15.4"/>
    <col collapsed="false" customWidth="true" hidden="false" outlineLevel="0" max="61" min="61" style="24" width="15.27"/>
    <col collapsed="false" customWidth="true" hidden="false" outlineLevel="0" max="62" min="62" style="24" width="15.73"/>
    <col collapsed="false" customWidth="true" hidden="false" outlineLevel="0" max="63" min="63" style="24" width="12.6"/>
    <col collapsed="false" customWidth="true" hidden="false" outlineLevel="0" max="64" min="64" style="24" width="16.87"/>
    <col collapsed="false" customWidth="true" hidden="false" outlineLevel="0" max="65" min="65" style="24" width="15.4"/>
    <col collapsed="false" customWidth="true" hidden="false" outlineLevel="0" max="66" min="66" style="24" width="14.62"/>
    <col collapsed="false" customWidth="true" hidden="false" outlineLevel="0" max="67" min="67" style="24" width="10"/>
    <col collapsed="false" customWidth="true" hidden="false" outlineLevel="0" max="68" min="68" style="24" width="6.13"/>
    <col collapsed="false" customWidth="true" hidden="false" outlineLevel="0" max="69" min="69" style="24" width="7.14"/>
    <col collapsed="false" customWidth="true" hidden="false" outlineLevel="0" max="70" min="70" style="24" width="8.26"/>
    <col collapsed="false" customWidth="true" hidden="false" outlineLevel="0" max="71" min="71" style="24" width="4.73"/>
    <col collapsed="false" customWidth="false" hidden="false" outlineLevel="0" max="1024" min="72" style="24" width="8.86"/>
  </cols>
  <sheetData>
    <row r="1" s="31" customFormat="true" ht="60.75" hidden="false" customHeight="true" outlineLevel="0" collapsed="false">
      <c r="A1" s="26" t="s">
        <v>20</v>
      </c>
      <c r="B1" s="26"/>
      <c r="C1" s="26"/>
      <c r="D1" s="26"/>
      <c r="E1" s="26"/>
      <c r="F1" s="26"/>
      <c r="G1" s="26"/>
      <c r="H1" s="26"/>
      <c r="I1" s="26"/>
      <c r="J1" s="26"/>
      <c r="K1" s="26"/>
      <c r="L1" s="26"/>
      <c r="M1" s="26"/>
      <c r="N1" s="27"/>
      <c r="O1" s="27"/>
      <c r="P1" s="27"/>
      <c r="Q1" s="27"/>
      <c r="R1" s="28"/>
      <c r="S1" s="29"/>
      <c r="T1" s="30"/>
      <c r="U1" s="30"/>
      <c r="V1" s="30"/>
      <c r="W1" s="30"/>
      <c r="X1" s="30"/>
      <c r="Y1" s="30"/>
      <c r="Z1" s="30"/>
      <c r="AA1" s="30"/>
      <c r="AB1" s="30"/>
      <c r="AC1" s="30"/>
      <c r="AD1" s="30"/>
      <c r="AE1" s="30"/>
      <c r="AF1" s="30"/>
      <c r="AG1" s="30"/>
      <c r="AH1" s="30"/>
      <c r="AI1" s="30"/>
      <c r="AJ1" s="30"/>
      <c r="AK1" s="30"/>
      <c r="AL1" s="30"/>
      <c r="AM1" s="30"/>
    </row>
    <row r="2" customFormat="false" ht="15.75" hidden="false" customHeight="false" outlineLevel="0" collapsed="false">
      <c r="A2" s="32"/>
      <c r="B2" s="33" t="s">
        <v>21</v>
      </c>
      <c r="C2" s="32"/>
      <c r="D2" s="32"/>
      <c r="E2" s="32"/>
      <c r="F2" s="34"/>
      <c r="G2" s="34"/>
      <c r="H2" s="32"/>
      <c r="I2" s="32"/>
      <c r="J2" s="32"/>
      <c r="K2" s="32"/>
      <c r="L2" s="35"/>
      <c r="M2" s="35"/>
      <c r="N2" s="32"/>
      <c r="O2" s="32"/>
      <c r="P2" s="32"/>
      <c r="Q2" s="32"/>
      <c r="R2" s="32"/>
      <c r="S2" s="32"/>
      <c r="T2" s="32"/>
      <c r="U2" s="32"/>
      <c r="V2" s="32"/>
      <c r="W2" s="32"/>
      <c r="X2" s="32"/>
      <c r="Y2" s="32"/>
      <c r="Z2" s="32"/>
      <c r="AA2" s="32"/>
      <c r="AB2" s="32"/>
      <c r="AC2" s="32"/>
      <c r="AD2" s="32"/>
      <c r="AE2" s="32"/>
      <c r="AF2" s="32"/>
      <c r="AG2" s="32"/>
      <c r="AH2" s="32"/>
      <c r="AI2" s="32"/>
      <c r="AJ2" s="32"/>
      <c r="AK2" s="32"/>
      <c r="AL2" s="32"/>
      <c r="AM2" s="32"/>
    </row>
    <row r="3" customFormat="false" ht="12.75" hidden="false" customHeight="false" outlineLevel="0" collapsed="false">
      <c r="A3" s="32"/>
      <c r="B3" s="32"/>
      <c r="C3" s="32"/>
      <c r="D3" s="32"/>
      <c r="E3" s="32"/>
      <c r="F3" s="32"/>
      <c r="G3" s="34"/>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row>
    <row r="4" customFormat="false" ht="12.75" hidden="false" customHeight="false" outlineLevel="0" collapsed="false">
      <c r="A4" s="32"/>
      <c r="B4" s="32"/>
      <c r="C4" s="32"/>
      <c r="D4" s="32"/>
      <c r="E4" s="32"/>
      <c r="F4" s="32"/>
      <c r="G4" s="34"/>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row>
    <row r="5" customFormat="false" ht="12.75" hidden="false" customHeight="false" outlineLevel="0" collapsed="false">
      <c r="A5" s="32"/>
      <c r="B5" s="32"/>
      <c r="C5" s="32"/>
      <c r="D5" s="32"/>
      <c r="E5" s="32"/>
      <c r="F5" s="32"/>
      <c r="G5" s="34"/>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row>
    <row r="6" customFormat="false" ht="12.75" hidden="false" customHeight="false" outlineLevel="0" collapsed="false">
      <c r="A6" s="32"/>
      <c r="B6" s="32"/>
      <c r="C6" s="32"/>
      <c r="D6" s="32"/>
      <c r="E6" s="32"/>
      <c r="F6" s="32"/>
      <c r="G6" s="34"/>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row>
    <row r="7" customFormat="false" ht="12.75" hidden="false" customHeight="false" outlineLevel="0" collapsed="false">
      <c r="A7" s="32"/>
      <c r="B7" s="32"/>
      <c r="C7" s="32"/>
      <c r="D7" s="32"/>
      <c r="E7" s="32"/>
      <c r="F7" s="32"/>
      <c r="G7" s="34"/>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row>
    <row r="8" customFormat="false" ht="12.75" hidden="false" customHeight="false" outlineLevel="0" collapsed="false">
      <c r="A8" s="32"/>
      <c r="B8" s="32"/>
      <c r="C8" s="32"/>
      <c r="D8" s="32"/>
      <c r="E8" s="32"/>
      <c r="F8" s="32"/>
      <c r="G8" s="34"/>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S8" s="36" t="s">
        <v>22</v>
      </c>
    </row>
    <row r="9" customFormat="false" ht="15" hidden="false" customHeight="true" outlineLevel="0" collapsed="false">
      <c r="A9" s="32"/>
      <c r="B9" s="37"/>
      <c r="C9" s="38"/>
      <c r="D9" s="39" t="s">
        <v>23</v>
      </c>
      <c r="E9" s="40"/>
      <c r="F9" s="32"/>
      <c r="G9" s="34"/>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S9" s="36" t="s">
        <v>24</v>
      </c>
    </row>
    <row r="10" customFormat="false" ht="15" hidden="false" customHeight="true" outlineLevel="0" collapsed="false">
      <c r="A10" s="32"/>
      <c r="B10" s="41"/>
      <c r="C10" s="42"/>
      <c r="D10" s="32" t="s">
        <v>25</v>
      </c>
      <c r="E10" s="43"/>
      <c r="F10" s="32"/>
      <c r="G10" s="34"/>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row>
    <row r="11" customFormat="false" ht="22.9" hidden="false" customHeight="true" outlineLevel="0" collapsed="false">
      <c r="A11" s="32"/>
      <c r="B11" s="41"/>
      <c r="C11" s="44"/>
      <c r="D11" s="45" t="s">
        <v>26</v>
      </c>
      <c r="E11" s="45"/>
      <c r="F11" s="32"/>
      <c r="G11" s="34"/>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row>
    <row r="12" customFormat="false" ht="21.6" hidden="false" customHeight="true" outlineLevel="0" collapsed="false">
      <c r="A12" s="32"/>
      <c r="B12" s="41"/>
      <c r="C12" s="46"/>
      <c r="D12" s="45"/>
      <c r="E12" s="45"/>
      <c r="F12" s="32"/>
      <c r="G12" s="34"/>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row>
    <row r="13" customFormat="false" ht="21.6" hidden="false" customHeight="true" outlineLevel="0" collapsed="false">
      <c r="A13" s="32"/>
      <c r="B13" s="41"/>
      <c r="C13" s="47"/>
      <c r="D13" s="48"/>
      <c r="E13" s="49"/>
      <c r="F13" s="32"/>
      <c r="G13" s="34"/>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row>
    <row r="14" customFormat="false" ht="21.6" hidden="false" customHeight="true" outlineLevel="0" collapsed="false">
      <c r="A14" s="32"/>
      <c r="B14" s="50" t="s">
        <v>27</v>
      </c>
      <c r="C14" s="51"/>
      <c r="D14" s="52" t="s">
        <v>28</v>
      </c>
      <c r="E14" s="52"/>
      <c r="F14" s="52"/>
      <c r="G14" s="52"/>
      <c r="H14" s="53"/>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5"/>
    </row>
    <row r="15" customFormat="false" ht="21.6" hidden="false" customHeight="true" outlineLevel="0" collapsed="false">
      <c r="A15" s="32"/>
      <c r="B15" s="56"/>
      <c r="C15" s="57"/>
      <c r="D15" s="52"/>
      <c r="E15" s="52"/>
      <c r="F15" s="52"/>
      <c r="G15" s="52"/>
      <c r="H15" s="58"/>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60"/>
    </row>
    <row r="16" customFormat="false" ht="15" hidden="false" customHeight="false" outlineLevel="0" collapsed="false">
      <c r="A16" s="32"/>
      <c r="B16" s="61"/>
      <c r="C16" s="57"/>
      <c r="D16" s="62" t="s">
        <v>29</v>
      </c>
      <c r="E16" s="62"/>
      <c r="F16" s="62"/>
      <c r="G16" s="62"/>
      <c r="H16" s="62"/>
      <c r="I16" s="62"/>
      <c r="J16" s="62"/>
      <c r="K16" s="63"/>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60"/>
    </row>
    <row r="17" customFormat="false" ht="15" hidden="false" customHeight="false" outlineLevel="0" collapsed="false">
      <c r="A17" s="32"/>
      <c r="B17" s="61"/>
      <c r="C17" s="57"/>
      <c r="D17" s="62" t="s">
        <v>30</v>
      </c>
      <c r="E17" s="62"/>
      <c r="F17" s="62"/>
      <c r="G17" s="62"/>
      <c r="H17" s="62"/>
      <c r="I17" s="62"/>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60"/>
    </row>
    <row r="18" customFormat="false" ht="15" hidden="false" customHeight="false" outlineLevel="0" collapsed="false">
      <c r="A18" s="32"/>
      <c r="B18" s="61"/>
      <c r="C18" s="57"/>
      <c r="D18" s="62" t="s">
        <v>31</v>
      </c>
      <c r="E18" s="62"/>
      <c r="F18" s="62"/>
      <c r="G18" s="62"/>
      <c r="H18" s="62"/>
      <c r="I18" s="62"/>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60"/>
    </row>
    <row r="19" customFormat="false" ht="15" hidden="false" customHeight="false" outlineLevel="0" collapsed="false">
      <c r="A19" s="32"/>
      <c r="B19" s="61"/>
      <c r="C19" s="57"/>
      <c r="D19" s="62" t="s">
        <v>32</v>
      </c>
      <c r="E19" s="62"/>
      <c r="F19" s="62"/>
      <c r="G19" s="62"/>
      <c r="H19" s="62"/>
      <c r="I19" s="62"/>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60"/>
    </row>
    <row r="20" customFormat="false" ht="15" hidden="false" customHeight="false" outlineLevel="0" collapsed="false">
      <c r="A20" s="32"/>
      <c r="B20" s="64"/>
      <c r="C20" s="57"/>
      <c r="D20" s="65" t="s">
        <v>33</v>
      </c>
      <c r="E20" s="66"/>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60"/>
    </row>
    <row r="21" customFormat="false" ht="21.6" hidden="false" customHeight="true" outlineLevel="0" collapsed="false">
      <c r="A21" s="32"/>
      <c r="B21" s="67"/>
      <c r="C21" s="59"/>
      <c r="D21" s="59"/>
      <c r="E21" s="68"/>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60"/>
    </row>
    <row r="22" customFormat="false" ht="30.6" hidden="false" customHeight="true" outlineLevel="0" collapsed="false">
      <c r="A22" s="32"/>
      <c r="B22" s="67"/>
      <c r="C22" s="59"/>
      <c r="D22" s="69" t="s">
        <v>34</v>
      </c>
      <c r="E22" s="69"/>
      <c r="F22" s="69"/>
      <c r="G22" s="70" t="s">
        <v>22</v>
      </c>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60"/>
    </row>
    <row r="23" customFormat="false" ht="27.6" hidden="false" customHeight="true" outlineLevel="0" collapsed="false">
      <c r="A23" s="32"/>
      <c r="B23" s="67"/>
      <c r="C23" s="59"/>
      <c r="D23" s="71" t="s">
        <v>35</v>
      </c>
      <c r="E23" s="71"/>
      <c r="F23" s="71"/>
      <c r="G23" s="72" t="s">
        <v>22</v>
      </c>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60"/>
    </row>
    <row r="24" customFormat="false" ht="5.45" hidden="false" customHeight="true" outlineLevel="0" collapsed="false">
      <c r="A24" s="32"/>
      <c r="B24" s="67"/>
      <c r="C24" s="59"/>
      <c r="D24" s="73" t="s">
        <v>36</v>
      </c>
      <c r="E24" s="73"/>
      <c r="F24" s="73"/>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60"/>
    </row>
    <row r="25" customFormat="false" ht="21.6" hidden="false" customHeight="true" outlineLevel="0" collapsed="false">
      <c r="A25" s="32"/>
      <c r="B25" s="67"/>
      <c r="C25" s="59"/>
      <c r="D25" s="73"/>
      <c r="E25" s="73"/>
      <c r="F25" s="73"/>
      <c r="G25" s="74"/>
      <c r="H25" s="59"/>
      <c r="I25" s="59"/>
      <c r="J25" s="63"/>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60"/>
    </row>
    <row r="26" customFormat="false" ht="15" hidden="false" customHeight="true" outlineLevel="0" collapsed="false">
      <c r="A26" s="32"/>
      <c r="B26" s="75"/>
      <c r="C26" s="76"/>
      <c r="D26" s="77"/>
      <c r="E26" s="77"/>
      <c r="F26" s="77"/>
      <c r="G26" s="78"/>
      <c r="H26" s="76"/>
      <c r="I26" s="76"/>
      <c r="J26" s="79"/>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80"/>
    </row>
    <row r="27" customFormat="false" ht="15" hidden="false" customHeight="true" outlineLevel="0" collapsed="false">
      <c r="A27" s="32"/>
      <c r="B27" s="81" t="s">
        <v>37</v>
      </c>
      <c r="C27" s="82"/>
      <c r="D27" s="82"/>
      <c r="E27" s="83" t="s">
        <v>38</v>
      </c>
      <c r="F27" s="84" t="n">
        <v>12</v>
      </c>
      <c r="G27" s="85" t="s">
        <v>39</v>
      </c>
      <c r="H27" s="82"/>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6"/>
    </row>
    <row r="28" customFormat="false" ht="15" hidden="false" customHeight="true" outlineLevel="0" collapsed="false">
      <c r="A28" s="32"/>
      <c r="B28" s="87"/>
      <c r="C28" s="88"/>
      <c r="D28" s="88"/>
      <c r="E28" s="89" t="s">
        <v>40</v>
      </c>
      <c r="F28" s="90" t="n">
        <v>48</v>
      </c>
      <c r="G28" s="91" t="s">
        <v>39</v>
      </c>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92"/>
    </row>
    <row r="29" customFormat="false" ht="15" hidden="false" customHeight="true" outlineLevel="0" collapsed="false">
      <c r="A29" s="32"/>
      <c r="B29" s="93"/>
      <c r="C29" s="88"/>
      <c r="D29" s="88"/>
      <c r="E29" s="89" t="s">
        <v>41</v>
      </c>
      <c r="F29" s="90" t="n">
        <v>50</v>
      </c>
      <c r="G29" s="91" t="s">
        <v>39</v>
      </c>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92"/>
    </row>
    <row r="30" customFormat="false" ht="15" hidden="false" customHeight="true" outlineLevel="0" collapsed="false">
      <c r="A30" s="32"/>
      <c r="B30" s="93"/>
      <c r="C30" s="88"/>
      <c r="D30" s="88"/>
      <c r="E30" s="89" t="s">
        <v>42</v>
      </c>
      <c r="F30" s="90" t="n">
        <v>45</v>
      </c>
      <c r="G30" s="91" t="s">
        <v>43</v>
      </c>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92"/>
    </row>
    <row r="31" customFormat="false" ht="15" hidden="false" customHeight="true" outlineLevel="0" collapsed="false">
      <c r="A31" s="32"/>
      <c r="B31" s="93"/>
      <c r="C31" s="88"/>
      <c r="D31" s="88"/>
      <c r="E31" s="89" t="s">
        <v>44</v>
      </c>
      <c r="F31" s="90" t="n">
        <v>4000</v>
      </c>
      <c r="G31" s="94" t="s">
        <v>45</v>
      </c>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92"/>
    </row>
    <row r="32" customFormat="false" ht="15" hidden="false" customHeight="true" outlineLevel="0" collapsed="false">
      <c r="A32" s="32"/>
      <c r="B32" s="93"/>
      <c r="C32" s="88"/>
      <c r="D32" s="88"/>
      <c r="E32" s="89" t="s">
        <v>46</v>
      </c>
      <c r="F32" s="95" t="n">
        <v>55</v>
      </c>
      <c r="G32" s="96" t="s">
        <v>47</v>
      </c>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92"/>
    </row>
    <row r="33" customFormat="false" ht="15" hidden="false" customHeight="true" outlineLevel="0" collapsed="false">
      <c r="A33" s="32"/>
      <c r="B33" s="97" t="s">
        <v>48</v>
      </c>
      <c r="C33" s="88"/>
      <c r="D33" s="88"/>
      <c r="E33" s="89"/>
      <c r="F33" s="98"/>
      <c r="G33" s="91"/>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92"/>
    </row>
    <row r="34" customFormat="false" ht="15" hidden="false" customHeight="true" outlineLevel="0" collapsed="false">
      <c r="A34" s="32"/>
      <c r="B34" s="97"/>
      <c r="C34" s="88"/>
      <c r="D34" s="88"/>
      <c r="E34" s="89"/>
      <c r="F34" s="98"/>
      <c r="G34" s="91"/>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92"/>
    </row>
    <row r="35" customFormat="false" ht="15" hidden="false" customHeight="true" outlineLevel="0" collapsed="false">
      <c r="A35" s="32"/>
      <c r="B35" s="93"/>
      <c r="C35" s="88"/>
      <c r="D35" s="88"/>
      <c r="E35" s="89"/>
      <c r="F35" s="98"/>
      <c r="G35" s="91"/>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92"/>
    </row>
    <row r="36" customFormat="false" ht="15" hidden="false" customHeight="true" outlineLevel="0" collapsed="false">
      <c r="A36" s="32"/>
      <c r="B36" s="93"/>
      <c r="C36" s="88"/>
      <c r="D36" s="88"/>
      <c r="E36" s="89"/>
      <c r="F36" s="98"/>
      <c r="G36" s="91"/>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92"/>
    </row>
    <row r="37" customFormat="false" ht="15" hidden="false" customHeight="true" outlineLevel="0" collapsed="false">
      <c r="A37" s="32"/>
      <c r="B37" s="99"/>
      <c r="C37" s="100"/>
      <c r="D37" s="100"/>
      <c r="E37" s="101"/>
      <c r="F37" s="102"/>
      <c r="G37" s="103"/>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4"/>
    </row>
    <row r="38" customFormat="false" ht="15" hidden="false" customHeight="true" outlineLevel="0" collapsed="false">
      <c r="A38" s="32"/>
      <c r="B38" s="81" t="s">
        <v>49</v>
      </c>
      <c r="C38" s="105"/>
      <c r="D38" s="82"/>
      <c r="E38" s="83" t="s">
        <v>50</v>
      </c>
      <c r="F38" s="106" t="n">
        <f aca="false">Equations!F20</f>
        <v>0.99009900990099</v>
      </c>
      <c r="G38" s="85" t="s">
        <v>51</v>
      </c>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6"/>
      <c r="AN38" s="36" t="s">
        <v>52</v>
      </c>
    </row>
    <row r="39" customFormat="false" ht="15" hidden="false" customHeight="true" outlineLevel="0" collapsed="false">
      <c r="A39" s="32"/>
      <c r="B39" s="93"/>
      <c r="C39" s="88"/>
      <c r="D39" s="88"/>
      <c r="E39" s="89" t="s">
        <v>53</v>
      </c>
      <c r="F39" s="107" t="s">
        <v>24</v>
      </c>
      <c r="G39" s="91"/>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92"/>
      <c r="AN39" s="36" t="s">
        <v>22</v>
      </c>
    </row>
    <row r="40" customFormat="false" ht="15" hidden="false" customHeight="true" outlineLevel="0" collapsed="false">
      <c r="A40" s="32"/>
      <c r="B40" s="93"/>
      <c r="C40" s="88"/>
      <c r="D40" s="88"/>
      <c r="E40" s="89" t="s">
        <v>54</v>
      </c>
      <c r="F40" s="90" t="n">
        <v>0.5</v>
      </c>
      <c r="G40" s="91" t="s">
        <v>51</v>
      </c>
      <c r="H40" s="108"/>
      <c r="I40" s="88"/>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92"/>
      <c r="AN40" s="36" t="s">
        <v>24</v>
      </c>
    </row>
    <row r="41" customFormat="false" ht="15" hidden="false" customHeight="true" outlineLevel="0" collapsed="false">
      <c r="A41" s="32"/>
      <c r="B41" s="93"/>
      <c r="C41" s="88"/>
      <c r="D41" s="88"/>
      <c r="E41" s="89" t="s">
        <v>55</v>
      </c>
      <c r="F41" s="109" t="str">
        <f aca="false">Equations!F21</f>
        <v>NA</v>
      </c>
      <c r="G41" s="110" t="s">
        <v>56</v>
      </c>
      <c r="H41" s="111"/>
      <c r="I41" s="88"/>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88"/>
      <c r="AL41" s="88"/>
      <c r="AM41" s="92"/>
    </row>
    <row r="42" customFormat="false" ht="15" hidden="false" customHeight="true" outlineLevel="0" collapsed="false">
      <c r="A42" s="32"/>
      <c r="B42" s="93"/>
      <c r="C42" s="88"/>
      <c r="D42" s="88"/>
      <c r="E42" s="89" t="s">
        <v>57</v>
      </c>
      <c r="F42" s="112" t="str">
        <f aca="false">Equations!F22</f>
        <v>NA</v>
      </c>
      <c r="G42" s="110" t="s">
        <v>56</v>
      </c>
      <c r="H42" s="111"/>
      <c r="I42" s="88"/>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92"/>
    </row>
    <row r="43" customFormat="false" ht="15" hidden="false" customHeight="true" outlineLevel="0" collapsed="false">
      <c r="A43" s="32"/>
      <c r="B43" s="93"/>
      <c r="C43" s="88"/>
      <c r="D43" s="88"/>
      <c r="E43" s="89" t="s">
        <v>58</v>
      </c>
      <c r="F43" s="107" t="n">
        <v>10</v>
      </c>
      <c r="G43" s="110" t="s">
        <v>56</v>
      </c>
      <c r="H43" s="111"/>
      <c r="I43" s="88"/>
      <c r="J43" s="10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92"/>
      <c r="AN43" s="24" t="n">
        <f aca="false">AND(F39="No")</f>
        <v>1</v>
      </c>
    </row>
    <row r="44" customFormat="false" ht="15" hidden="false" customHeight="true" outlineLevel="0" collapsed="false">
      <c r="A44" s="32"/>
      <c r="B44" s="93"/>
      <c r="C44" s="88"/>
      <c r="D44" s="88"/>
      <c r="E44" s="89" t="s">
        <v>59</v>
      </c>
      <c r="F44" s="107" t="n">
        <v>2</v>
      </c>
      <c r="G44" s="110" t="s">
        <v>56</v>
      </c>
      <c r="H44" s="111"/>
      <c r="I44" s="88"/>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8"/>
      <c r="AI44" s="88"/>
      <c r="AJ44" s="88"/>
      <c r="AK44" s="88"/>
      <c r="AL44" s="88"/>
      <c r="AM44" s="92"/>
    </row>
    <row r="45" customFormat="false" ht="15" hidden="false" customHeight="true" outlineLevel="0" collapsed="false">
      <c r="A45" s="32"/>
      <c r="B45" s="113" t="s">
        <v>48</v>
      </c>
      <c r="C45" s="88"/>
      <c r="D45" s="88"/>
      <c r="E45" s="89" t="s">
        <v>60</v>
      </c>
      <c r="F45" s="112" t="n">
        <f aca="false">RsEFF</f>
        <v>0.5</v>
      </c>
      <c r="G45" s="91" t="s">
        <v>51</v>
      </c>
      <c r="H45" s="111"/>
      <c r="I45" s="88"/>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88"/>
      <c r="AK45" s="88"/>
      <c r="AL45" s="88"/>
      <c r="AM45" s="92"/>
    </row>
    <row r="46" customFormat="false" ht="15" hidden="false" customHeight="true" outlineLevel="0" collapsed="false">
      <c r="A46" s="32"/>
      <c r="B46" s="113"/>
      <c r="C46" s="88"/>
      <c r="D46" s="114"/>
      <c r="E46" s="115" t="s">
        <v>61</v>
      </c>
      <c r="F46" s="116" t="n">
        <f aca="false">CLMIN</f>
        <v>90</v>
      </c>
      <c r="G46" s="91" t="s">
        <v>43</v>
      </c>
      <c r="H46" s="88"/>
      <c r="I46" s="88"/>
      <c r="J46" s="88"/>
      <c r="K46" s="88"/>
      <c r="L46" s="88"/>
      <c r="M46" s="88"/>
      <c r="N46" s="88"/>
      <c r="O46" s="88"/>
      <c r="P46" s="88"/>
      <c r="Q46" s="88"/>
      <c r="R46" s="88"/>
      <c r="S46" s="88"/>
      <c r="T46" s="88"/>
      <c r="U46" s="88"/>
      <c r="V46" s="88"/>
      <c r="W46" s="88"/>
      <c r="X46" s="88"/>
      <c r="Y46" s="88"/>
      <c r="Z46" s="88"/>
      <c r="AA46" s="88"/>
      <c r="AB46" s="88"/>
      <c r="AC46" s="88"/>
      <c r="AD46" s="88"/>
      <c r="AE46" s="88"/>
      <c r="AF46" s="88"/>
      <c r="AG46" s="88"/>
      <c r="AH46" s="88"/>
      <c r="AI46" s="88"/>
      <c r="AJ46" s="88"/>
      <c r="AK46" s="88"/>
      <c r="AL46" s="88"/>
      <c r="AM46" s="92"/>
    </row>
    <row r="47" customFormat="false" ht="15" hidden="false" customHeight="true" outlineLevel="0" collapsed="false">
      <c r="A47" s="32"/>
      <c r="B47" s="113"/>
      <c r="C47" s="88"/>
      <c r="D47" s="117"/>
      <c r="E47" s="118" t="s">
        <v>62</v>
      </c>
      <c r="F47" s="116" t="n">
        <f aca="false">CLNOM</f>
        <v>100</v>
      </c>
      <c r="G47" s="91" t="s">
        <v>43</v>
      </c>
      <c r="H47" s="88"/>
      <c r="I47" s="88"/>
      <c r="J47" s="88"/>
      <c r="K47" s="88"/>
      <c r="L47" s="88"/>
      <c r="M47" s="88"/>
      <c r="N47" s="88"/>
      <c r="O47" s="88"/>
      <c r="P47" s="88"/>
      <c r="Q47" s="88"/>
      <c r="R47" s="88"/>
      <c r="S47" s="88"/>
      <c r="T47" s="88"/>
      <c r="U47" s="88"/>
      <c r="V47" s="88"/>
      <c r="W47" s="88"/>
      <c r="X47" s="88"/>
      <c r="Y47" s="88"/>
      <c r="Z47" s="88"/>
      <c r="AA47" s="88"/>
      <c r="AB47" s="88"/>
      <c r="AC47" s="88"/>
      <c r="AD47" s="88"/>
      <c r="AE47" s="88"/>
      <c r="AF47" s="88"/>
      <c r="AG47" s="88"/>
      <c r="AH47" s="88"/>
      <c r="AI47" s="88"/>
      <c r="AJ47" s="88"/>
      <c r="AK47" s="88"/>
      <c r="AL47" s="88"/>
      <c r="AM47" s="92"/>
    </row>
    <row r="48" customFormat="false" ht="15" hidden="false" customHeight="true" outlineLevel="0" collapsed="false">
      <c r="A48" s="32"/>
      <c r="B48" s="93"/>
      <c r="C48" s="88"/>
      <c r="D48" s="119"/>
      <c r="E48" s="120" t="s">
        <v>63</v>
      </c>
      <c r="F48" s="116" t="n">
        <f aca="false">CLMAX</f>
        <v>110</v>
      </c>
      <c r="G48" s="91" t="s">
        <v>43</v>
      </c>
      <c r="H48" s="88"/>
      <c r="I48" s="121"/>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88"/>
      <c r="AL48" s="88"/>
      <c r="AM48" s="92"/>
      <c r="AN48" s="36" t="s">
        <v>64</v>
      </c>
    </row>
    <row r="49" customFormat="false" ht="15" hidden="false" customHeight="true" outlineLevel="0" collapsed="false">
      <c r="A49" s="32"/>
      <c r="B49" s="93"/>
      <c r="C49" s="88"/>
      <c r="D49" s="88"/>
      <c r="E49" s="89" t="s">
        <v>65</v>
      </c>
      <c r="F49" s="122" t="n">
        <f aca="false">Equations!F27/1000</f>
        <v>6.05</v>
      </c>
      <c r="G49" s="91" t="s">
        <v>56</v>
      </c>
      <c r="H49" s="88"/>
      <c r="I49" s="88"/>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88"/>
      <c r="AK49" s="88"/>
      <c r="AL49" s="88"/>
      <c r="AM49" s="92"/>
      <c r="AN49" s="36" t="s">
        <v>66</v>
      </c>
    </row>
    <row r="50" customFormat="false" ht="14.15" hidden="false" customHeight="false" outlineLevel="0" collapsed="false">
      <c r="A50" s="32"/>
      <c r="B50" s="81" t="s">
        <v>67</v>
      </c>
      <c r="C50" s="82"/>
      <c r="D50" s="82"/>
      <c r="E50" s="123" t="s">
        <v>68</v>
      </c>
      <c r="F50" s="124" t="s">
        <v>69</v>
      </c>
      <c r="G50" s="125"/>
      <c r="H50" s="82"/>
      <c r="I50" s="82"/>
      <c r="J50" s="82"/>
      <c r="K50" s="82"/>
      <c r="L50" s="82"/>
      <c r="M50" s="82"/>
      <c r="N50" s="82"/>
      <c r="O50" s="82"/>
      <c r="P50" s="82"/>
      <c r="Q50" s="82"/>
      <c r="R50" s="82"/>
      <c r="S50" s="82"/>
      <c r="T50" s="82"/>
      <c r="U50" s="82"/>
      <c r="V50" s="82"/>
      <c r="W50" s="82"/>
      <c r="X50" s="82"/>
      <c r="Y50" s="82"/>
      <c r="Z50" s="82"/>
      <c r="AA50" s="82"/>
      <c r="AB50" s="82"/>
      <c r="AC50" s="82"/>
      <c r="AD50" s="82"/>
      <c r="AE50" s="82"/>
      <c r="AF50" s="82"/>
      <c r="AG50" s="82"/>
      <c r="AH50" s="82"/>
      <c r="AI50" s="82"/>
      <c r="AJ50" s="82"/>
      <c r="AK50" s="82"/>
      <c r="AL50" s="82"/>
      <c r="AM50" s="86"/>
    </row>
    <row r="51" customFormat="false" ht="15" hidden="false" customHeight="false" outlineLevel="0" collapsed="false">
      <c r="A51" s="32"/>
      <c r="B51" s="93"/>
      <c r="C51" s="88"/>
      <c r="D51" s="88"/>
      <c r="E51" s="126" t="s">
        <v>70</v>
      </c>
      <c r="F51" s="127" t="n">
        <v>30</v>
      </c>
      <c r="G51" s="96" t="s">
        <v>71</v>
      </c>
      <c r="H51" s="88"/>
      <c r="I51" s="88"/>
      <c r="J51" s="88"/>
      <c r="K51" s="88"/>
      <c r="L51" s="88"/>
      <c r="M51" s="88"/>
      <c r="N51" s="88"/>
      <c r="O51" s="88"/>
      <c r="P51" s="88"/>
      <c r="Q51" s="88"/>
      <c r="R51" s="88"/>
      <c r="S51" s="88"/>
      <c r="T51" s="88"/>
      <c r="U51" s="88"/>
      <c r="V51" s="88"/>
      <c r="W51" s="88"/>
      <c r="X51" s="88"/>
      <c r="Y51" s="88"/>
      <c r="Z51" s="88"/>
      <c r="AA51" s="88"/>
      <c r="AB51" s="88"/>
      <c r="AC51" s="88"/>
      <c r="AD51" s="88"/>
      <c r="AE51" s="88"/>
      <c r="AF51" s="88"/>
      <c r="AG51" s="88"/>
      <c r="AH51" s="88"/>
      <c r="AI51" s="88"/>
      <c r="AJ51" s="88"/>
      <c r="AK51" s="88"/>
      <c r="AL51" s="88"/>
      <c r="AM51" s="92"/>
      <c r="AN51" s="24" t="n">
        <f aca="false">((((TJMAX-TAMB)/ThetaJA)/(CLMAX^2))*1000)*NUMFETS^2</f>
        <v>2.97520661157025</v>
      </c>
      <c r="AO51" s="24" t="n">
        <f aca="false">((TJMAX-TAMB)/ThetaJA)</f>
        <v>4</v>
      </c>
    </row>
    <row r="52" customFormat="false" ht="12.8" hidden="false" customHeight="false" outlineLevel="0" collapsed="false">
      <c r="A52" s="32"/>
      <c r="B52" s="93"/>
      <c r="C52" s="88"/>
      <c r="D52" s="88"/>
      <c r="E52" s="126" t="s">
        <v>72</v>
      </c>
      <c r="F52" s="90" t="n">
        <v>3</v>
      </c>
      <c r="G52" s="91" t="s">
        <v>73</v>
      </c>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92"/>
      <c r="AN52" s="128" t="s">
        <v>74</v>
      </c>
    </row>
    <row r="53" customFormat="false" ht="14.9" hidden="false" customHeight="false" outlineLevel="0" collapsed="false">
      <c r="A53" s="32"/>
      <c r="B53" s="93"/>
      <c r="C53" s="88"/>
      <c r="D53" s="88"/>
      <c r="E53" s="126" t="s">
        <v>75</v>
      </c>
      <c r="F53" s="90" t="n">
        <v>3.95</v>
      </c>
      <c r="G53" s="91" t="s">
        <v>51</v>
      </c>
      <c r="H53" s="88"/>
      <c r="I53" s="88"/>
      <c r="J53" s="88"/>
      <c r="K53" s="88"/>
      <c r="L53" s="88"/>
      <c r="M53" s="88"/>
      <c r="N53" s="88"/>
      <c r="O53" s="88"/>
      <c r="P53" s="88"/>
      <c r="Q53" s="88"/>
      <c r="R53" s="88"/>
      <c r="S53" s="88"/>
      <c r="T53" s="88"/>
      <c r="U53" s="88"/>
      <c r="V53" s="88"/>
      <c r="W53" s="88"/>
      <c r="X53" s="88"/>
      <c r="Y53" s="88"/>
      <c r="Z53" s="88"/>
      <c r="AA53" s="88"/>
      <c r="AB53" s="88"/>
      <c r="AC53" s="88"/>
      <c r="AD53" s="88"/>
      <c r="AE53" s="88"/>
      <c r="AF53" s="88"/>
      <c r="AG53" s="88"/>
      <c r="AH53" s="88"/>
      <c r="AI53" s="88"/>
      <c r="AJ53" s="88"/>
      <c r="AK53" s="88"/>
      <c r="AL53" s="88"/>
      <c r="AM53" s="92"/>
      <c r="AN53" s="36" t="n">
        <f aca="false">F53</f>
        <v>3.95</v>
      </c>
    </row>
    <row r="54" customFormat="false" ht="12.8" hidden="false" customHeight="false" outlineLevel="0" collapsed="false">
      <c r="A54" s="32"/>
      <c r="B54" s="93"/>
      <c r="C54" s="88"/>
      <c r="D54" s="88"/>
      <c r="E54" s="126" t="s">
        <v>76</v>
      </c>
      <c r="F54" s="90" t="n">
        <v>175</v>
      </c>
      <c r="G54" s="96" t="s">
        <v>47</v>
      </c>
      <c r="H54" s="88"/>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c r="AK54" s="88"/>
      <c r="AL54" s="88"/>
      <c r="AM54" s="92"/>
      <c r="AN54" s="36" t="n">
        <f aca="false">F54</f>
        <v>175</v>
      </c>
    </row>
    <row r="55" customFormat="false" ht="14.9" hidden="false" customHeight="false" outlineLevel="0" collapsed="false">
      <c r="A55" s="32"/>
      <c r="B55" s="129"/>
      <c r="C55" s="88"/>
      <c r="D55" s="88"/>
      <c r="E55" s="126" t="s">
        <v>77</v>
      </c>
      <c r="F55" s="130" t="n">
        <v>120</v>
      </c>
      <c r="G55" s="91" t="s">
        <v>43</v>
      </c>
      <c r="H55" s="88"/>
      <c r="I55" s="88"/>
      <c r="J55" s="88"/>
      <c r="K55" s="88"/>
      <c r="L55" s="88"/>
      <c r="M55" s="88"/>
      <c r="N55" s="88"/>
      <c r="O55" s="88"/>
      <c r="P55" s="88"/>
      <c r="Q55" s="88"/>
      <c r="R55" s="88"/>
      <c r="S55" s="88"/>
      <c r="T55" s="88"/>
      <c r="U55" s="88"/>
      <c r="V55" s="88"/>
      <c r="W55" s="88"/>
      <c r="X55" s="88"/>
      <c r="Y55" s="88"/>
      <c r="Z55" s="88"/>
      <c r="AA55" s="88"/>
      <c r="AB55" s="88"/>
      <c r="AC55" s="88"/>
      <c r="AD55" s="88"/>
      <c r="AE55" s="88"/>
      <c r="AF55" s="88"/>
      <c r="AG55" s="88"/>
      <c r="AH55" s="88"/>
      <c r="AI55" s="88"/>
      <c r="AJ55" s="88"/>
      <c r="AK55" s="88"/>
      <c r="AL55" s="88"/>
      <c r="AM55" s="92"/>
      <c r="AN55" s="36" t="n">
        <f aca="false">F55</f>
        <v>120</v>
      </c>
    </row>
    <row r="56" customFormat="false" ht="14.9" hidden="false" customHeight="false" outlineLevel="0" collapsed="false">
      <c r="A56" s="32"/>
      <c r="B56" s="129"/>
      <c r="C56" s="88"/>
      <c r="D56" s="88"/>
      <c r="E56" s="126" t="s">
        <v>78</v>
      </c>
      <c r="F56" s="130" t="n">
        <v>30</v>
      </c>
      <c r="G56" s="91" t="s">
        <v>43</v>
      </c>
      <c r="H56" s="88"/>
      <c r="I56" s="88"/>
      <c r="J56" s="88"/>
      <c r="K56" s="88"/>
      <c r="L56" s="88"/>
      <c r="M56" s="88"/>
      <c r="N56" s="88"/>
      <c r="O56" s="88"/>
      <c r="P56" s="88"/>
      <c r="Q56" s="88"/>
      <c r="R56" s="88"/>
      <c r="S56" s="88"/>
      <c r="T56" s="88"/>
      <c r="U56" s="88"/>
      <c r="V56" s="88"/>
      <c r="W56" s="88"/>
      <c r="X56" s="88"/>
      <c r="Y56" s="88"/>
      <c r="Z56" s="88"/>
      <c r="AA56" s="88"/>
      <c r="AB56" s="88"/>
      <c r="AC56" s="88"/>
      <c r="AD56" s="88"/>
      <c r="AE56" s="88"/>
      <c r="AF56" s="88"/>
      <c r="AG56" s="88"/>
      <c r="AH56" s="88"/>
      <c r="AI56" s="88"/>
      <c r="AJ56" s="88"/>
      <c r="AK56" s="88"/>
      <c r="AL56" s="88"/>
      <c r="AM56" s="92"/>
      <c r="AN56" s="36" t="n">
        <f aca="false">F56</f>
        <v>30</v>
      </c>
    </row>
    <row r="57" customFormat="false" ht="14.9" hidden="false" customHeight="false" outlineLevel="0" collapsed="false">
      <c r="A57" s="32"/>
      <c r="B57" s="131" t="s">
        <v>67</v>
      </c>
      <c r="C57" s="88"/>
      <c r="D57" s="88"/>
      <c r="E57" s="126" t="s">
        <v>79</v>
      </c>
      <c r="F57" s="130" t="n">
        <v>12</v>
      </c>
      <c r="G57" s="91" t="s">
        <v>43</v>
      </c>
      <c r="H57" s="88"/>
      <c r="I57" s="88"/>
      <c r="J57" s="88"/>
      <c r="K57" s="88"/>
      <c r="L57" s="88"/>
      <c r="M57" s="88"/>
      <c r="N57" s="88"/>
      <c r="O57" s="88"/>
      <c r="P57" s="88"/>
      <c r="Q57" s="88"/>
      <c r="R57" s="88"/>
      <c r="S57" s="88"/>
      <c r="T57" s="88"/>
      <c r="U57" s="88"/>
      <c r="V57" s="88"/>
      <c r="W57" s="88"/>
      <c r="X57" s="88"/>
      <c r="Y57" s="88"/>
      <c r="Z57" s="88"/>
      <c r="AA57" s="88"/>
      <c r="AB57" s="88"/>
      <c r="AC57" s="88"/>
      <c r="AD57" s="88"/>
      <c r="AE57" s="88"/>
      <c r="AF57" s="88"/>
      <c r="AG57" s="88"/>
      <c r="AH57" s="88"/>
      <c r="AI57" s="88"/>
      <c r="AJ57" s="88"/>
      <c r="AK57" s="88"/>
      <c r="AL57" s="88"/>
      <c r="AM57" s="92"/>
      <c r="AN57" s="36" t="n">
        <f aca="false">F57</f>
        <v>12</v>
      </c>
    </row>
    <row r="58" customFormat="false" ht="14.9" hidden="false" customHeight="false" outlineLevel="0" collapsed="false">
      <c r="A58" s="32"/>
      <c r="B58" s="129"/>
      <c r="C58" s="88"/>
      <c r="D58" s="88"/>
      <c r="E58" s="126" t="s">
        <v>80</v>
      </c>
      <c r="F58" s="130" t="n">
        <v>5</v>
      </c>
      <c r="G58" s="91" t="s">
        <v>43</v>
      </c>
      <c r="H58" s="88"/>
      <c r="I58" s="88"/>
      <c r="J58" s="88"/>
      <c r="K58" s="88"/>
      <c r="L58" s="88"/>
      <c r="M58" s="88"/>
      <c r="N58" s="88"/>
      <c r="O58" s="88"/>
      <c r="P58" s="88"/>
      <c r="Q58" s="88"/>
      <c r="R58" s="88"/>
      <c r="S58" s="88"/>
      <c r="T58" s="88"/>
      <c r="U58" s="88"/>
      <c r="V58" s="88"/>
      <c r="W58" s="88"/>
      <c r="X58" s="88"/>
      <c r="Y58" s="88"/>
      <c r="Z58" s="88"/>
      <c r="AA58" s="88"/>
      <c r="AB58" s="88"/>
      <c r="AC58" s="88"/>
      <c r="AD58" s="88"/>
      <c r="AE58" s="88"/>
      <c r="AF58" s="88"/>
      <c r="AG58" s="88"/>
      <c r="AH58" s="88"/>
      <c r="AI58" s="88"/>
      <c r="AJ58" s="88"/>
      <c r="AK58" s="88"/>
      <c r="AL58" s="88"/>
      <c r="AM58" s="92"/>
      <c r="AN58" s="36" t="n">
        <f aca="false">F58</f>
        <v>5</v>
      </c>
    </row>
    <row r="59" customFormat="false" ht="14.9" hidden="false" customHeight="false" outlineLevel="0" collapsed="false">
      <c r="A59" s="32"/>
      <c r="B59" s="129"/>
      <c r="C59" s="88"/>
      <c r="D59" s="88"/>
      <c r="E59" s="126" t="s">
        <v>81</v>
      </c>
      <c r="F59" s="130" t="n">
        <v>2</v>
      </c>
      <c r="G59" s="91" t="s">
        <v>43</v>
      </c>
      <c r="H59" s="88"/>
      <c r="I59" s="88"/>
      <c r="J59" s="88"/>
      <c r="K59" s="88"/>
      <c r="L59" s="88"/>
      <c r="M59" s="88"/>
      <c r="N59" s="88"/>
      <c r="O59" s="88"/>
      <c r="P59" s="88"/>
      <c r="Q59" s="88"/>
      <c r="R59" s="88"/>
      <c r="S59" s="88"/>
      <c r="T59" s="88"/>
      <c r="U59" s="88"/>
      <c r="V59" s="88"/>
      <c r="W59" s="88"/>
      <c r="X59" s="88"/>
      <c r="Y59" s="88"/>
      <c r="Z59" s="88"/>
      <c r="AA59" s="88"/>
      <c r="AB59" s="88"/>
      <c r="AC59" s="88"/>
      <c r="AD59" s="88"/>
      <c r="AE59" s="88"/>
      <c r="AF59" s="88"/>
      <c r="AG59" s="88"/>
      <c r="AH59" s="88"/>
      <c r="AI59" s="88"/>
      <c r="AJ59" s="88"/>
      <c r="AK59" s="88"/>
      <c r="AL59" s="88"/>
      <c r="AM59" s="92"/>
      <c r="AN59" s="36" t="n">
        <f aca="false">F59</f>
        <v>2</v>
      </c>
    </row>
    <row r="60" customFormat="false" ht="15" hidden="false" customHeight="true" outlineLevel="0" collapsed="false">
      <c r="A60" s="32"/>
      <c r="B60" s="129"/>
      <c r="C60" s="88"/>
      <c r="D60" s="88"/>
      <c r="E60" s="126" t="s">
        <v>82</v>
      </c>
      <c r="F60" s="132" t="n">
        <f aca="false">(IOUTMAX/NUMFETS)^2*RDSON/1000</f>
        <v>0.88875</v>
      </c>
      <c r="G60" s="91" t="s">
        <v>56</v>
      </c>
      <c r="H60" s="88"/>
      <c r="I60" s="88"/>
      <c r="J60" s="88"/>
      <c r="K60" s="88"/>
      <c r="L60" s="88"/>
      <c r="M60" s="88"/>
      <c r="N60" s="88"/>
      <c r="O60" s="88"/>
      <c r="P60" s="88"/>
      <c r="Q60" s="88"/>
      <c r="R60" s="88"/>
      <c r="S60" s="88"/>
      <c r="T60" s="88"/>
      <c r="U60" s="88"/>
      <c r="V60" s="88"/>
      <c r="W60" s="88"/>
      <c r="X60" s="88"/>
      <c r="Y60" s="88"/>
      <c r="Z60" s="88"/>
      <c r="AA60" s="88"/>
      <c r="AB60" s="88"/>
      <c r="AC60" s="88"/>
      <c r="AD60" s="88"/>
      <c r="AE60" s="88"/>
      <c r="AF60" s="88"/>
      <c r="AG60" s="88"/>
      <c r="AH60" s="88"/>
      <c r="AI60" s="88"/>
      <c r="AJ60" s="88"/>
      <c r="AK60" s="88"/>
      <c r="AL60" s="88"/>
      <c r="AM60" s="92"/>
      <c r="AT60" s="129"/>
    </row>
    <row r="61" customFormat="false" ht="15" hidden="false" customHeight="true" outlineLevel="0" collapsed="false">
      <c r="A61" s="32"/>
      <c r="B61" s="129" t="s">
        <v>83</v>
      </c>
      <c r="C61" s="88"/>
      <c r="D61" s="88"/>
      <c r="E61" s="126" t="s">
        <v>84</v>
      </c>
      <c r="F61" s="132" t="n">
        <f aca="false">TAMB+(FETPDISS*ThetaJA)</f>
        <v>81.6625</v>
      </c>
      <c r="G61" s="96" t="s">
        <v>47</v>
      </c>
      <c r="H61" s="88"/>
      <c r="I61" s="88"/>
      <c r="J61" s="88"/>
      <c r="K61" s="88"/>
      <c r="L61" s="88"/>
      <c r="M61" s="88"/>
      <c r="N61" s="88"/>
      <c r="O61" s="88"/>
      <c r="P61" s="88"/>
      <c r="Q61" s="88"/>
      <c r="R61" s="88"/>
      <c r="S61" s="88"/>
      <c r="T61" s="88"/>
      <c r="U61" s="88"/>
      <c r="V61" s="88"/>
      <c r="W61" s="88"/>
      <c r="X61" s="88"/>
      <c r="Y61" s="88"/>
      <c r="Z61" s="88"/>
      <c r="AA61" s="88"/>
      <c r="AB61" s="88"/>
      <c r="AC61" s="88"/>
      <c r="AD61" s="88"/>
      <c r="AE61" s="88"/>
      <c r="AF61" s="88"/>
      <c r="AG61" s="88"/>
      <c r="AH61" s="88"/>
      <c r="AI61" s="88"/>
      <c r="AJ61" s="88"/>
      <c r="AK61" s="88"/>
      <c r="AL61" s="88"/>
      <c r="AM61" s="92"/>
      <c r="AT61" s="129"/>
    </row>
    <row r="62" customFormat="false" ht="15" hidden="false" customHeight="true" outlineLevel="0" collapsed="false">
      <c r="A62" s="32"/>
      <c r="B62" s="129"/>
      <c r="C62" s="88"/>
      <c r="D62" s="88"/>
      <c r="E62" s="89" t="s">
        <v>85</v>
      </c>
      <c r="F62" s="132" t="n">
        <f aca="false">Equations!F38</f>
        <v>500</v>
      </c>
      <c r="G62" s="91" t="s">
        <v>56</v>
      </c>
      <c r="H62" s="88"/>
      <c r="I62" s="88"/>
      <c r="J62" s="88"/>
      <c r="K62" s="88"/>
      <c r="L62" s="88"/>
      <c r="M62" s="88"/>
      <c r="N62" s="88"/>
      <c r="O62" s="88"/>
      <c r="P62" s="88"/>
      <c r="Q62" s="88"/>
      <c r="R62" s="88"/>
      <c r="S62" s="88"/>
      <c r="T62" s="88"/>
      <c r="U62" s="88"/>
      <c r="V62" s="88"/>
      <c r="W62" s="88"/>
      <c r="X62" s="88"/>
      <c r="Y62" s="88"/>
      <c r="Z62" s="88"/>
      <c r="AA62" s="88"/>
      <c r="AB62" s="88"/>
      <c r="AC62" s="88"/>
      <c r="AD62" s="88"/>
      <c r="AE62" s="88"/>
      <c r="AF62" s="88"/>
      <c r="AG62" s="88"/>
      <c r="AH62" s="88"/>
      <c r="AI62" s="88"/>
      <c r="AJ62" s="88"/>
      <c r="AK62" s="88"/>
      <c r="AL62" s="88"/>
      <c r="AM62" s="92"/>
      <c r="AT62" s="129"/>
    </row>
    <row r="63" customFormat="false" ht="15" hidden="false" customHeight="true" outlineLevel="0" collapsed="false">
      <c r="A63" s="32"/>
      <c r="B63" s="129"/>
      <c r="C63" s="88"/>
      <c r="D63" s="88"/>
      <c r="E63" s="89" t="s">
        <v>86</v>
      </c>
      <c r="F63" s="130" t="n">
        <v>500</v>
      </c>
      <c r="G63" s="91" t="s">
        <v>56</v>
      </c>
      <c r="H63" s="88"/>
      <c r="I63" s="88"/>
      <c r="J63" s="88"/>
      <c r="K63" s="88"/>
      <c r="L63" s="88"/>
      <c r="M63" s="88"/>
      <c r="N63" s="88"/>
      <c r="O63" s="88"/>
      <c r="P63" s="88"/>
      <c r="Q63" s="88"/>
      <c r="R63" s="88"/>
      <c r="S63" s="88"/>
      <c r="T63" s="88"/>
      <c r="U63" s="88"/>
      <c r="V63" s="88"/>
      <c r="W63" s="88"/>
      <c r="X63" s="88"/>
      <c r="Y63" s="88"/>
      <c r="Z63" s="88"/>
      <c r="AA63" s="88"/>
      <c r="AB63" s="88"/>
      <c r="AC63" s="88"/>
      <c r="AD63" s="88"/>
      <c r="AE63" s="88"/>
      <c r="AF63" s="88"/>
      <c r="AG63" s="88"/>
      <c r="AH63" s="88"/>
      <c r="AI63" s="88"/>
      <c r="AJ63" s="88"/>
      <c r="AK63" s="88"/>
      <c r="AL63" s="88"/>
      <c r="AM63" s="92"/>
      <c r="AT63" s="129"/>
    </row>
    <row r="64" customFormat="false" ht="15" hidden="false" customHeight="true" outlineLevel="0" collapsed="false">
      <c r="A64" s="32"/>
      <c r="B64" s="129"/>
      <c r="C64" s="88"/>
      <c r="D64" s="88"/>
      <c r="E64" s="89" t="s">
        <v>87</v>
      </c>
      <c r="F64" s="130" t="n">
        <v>47</v>
      </c>
      <c r="G64" s="91" t="s">
        <v>88</v>
      </c>
      <c r="H64" s="88"/>
      <c r="I64" s="88"/>
      <c r="J64" s="88"/>
      <c r="K64" s="88"/>
      <c r="L64" s="88"/>
      <c r="M64" s="88"/>
      <c r="N64" s="88"/>
      <c r="O64" s="88"/>
      <c r="P64" s="88"/>
      <c r="Q64" s="88"/>
      <c r="R64" s="88"/>
      <c r="S64" s="88"/>
      <c r="T64" s="88"/>
      <c r="U64" s="88"/>
      <c r="V64" s="88"/>
      <c r="W64" s="88"/>
      <c r="X64" s="88"/>
      <c r="Y64" s="88"/>
      <c r="Z64" s="88"/>
      <c r="AA64" s="88"/>
      <c r="AB64" s="88"/>
      <c r="AC64" s="88"/>
      <c r="AD64" s="88"/>
      <c r="AE64" s="88"/>
      <c r="AF64" s="88"/>
      <c r="AG64" s="88"/>
      <c r="AH64" s="88"/>
      <c r="AI64" s="88"/>
      <c r="AJ64" s="88"/>
      <c r="AK64" s="88"/>
      <c r="AL64" s="88"/>
      <c r="AM64" s="92"/>
      <c r="AT64" s="129"/>
    </row>
    <row r="65" customFormat="false" ht="15" hidden="false" customHeight="true" outlineLevel="0" collapsed="false">
      <c r="A65" s="32"/>
      <c r="B65" s="129"/>
      <c r="C65" s="88"/>
      <c r="D65" s="88"/>
      <c r="E65" s="89" t="s">
        <v>89</v>
      </c>
      <c r="F65" s="133" t="n">
        <f aca="false">Equations!F43</f>
        <v>6.71428571428571</v>
      </c>
      <c r="G65" s="91" t="s">
        <v>88</v>
      </c>
      <c r="H65" s="88"/>
      <c r="I65" s="88"/>
      <c r="J65" s="88"/>
      <c r="K65" s="88"/>
      <c r="L65" s="88"/>
      <c r="M65" s="88"/>
      <c r="N65" s="88"/>
      <c r="O65" s="88"/>
      <c r="P65" s="88"/>
      <c r="Q65" s="88"/>
      <c r="R65" s="88"/>
      <c r="S65" s="88"/>
      <c r="T65" s="88"/>
      <c r="U65" s="88"/>
      <c r="V65" s="88"/>
      <c r="W65" s="88"/>
      <c r="X65" s="88"/>
      <c r="Y65" s="88"/>
      <c r="Z65" s="88"/>
      <c r="AA65" s="88"/>
      <c r="AB65" s="88"/>
      <c r="AC65" s="88"/>
      <c r="AD65" s="88"/>
      <c r="AE65" s="88"/>
      <c r="AF65" s="88"/>
      <c r="AG65" s="88"/>
      <c r="AH65" s="88"/>
      <c r="AI65" s="88"/>
      <c r="AJ65" s="88"/>
      <c r="AK65" s="88"/>
      <c r="AL65" s="88"/>
      <c r="AM65" s="92"/>
      <c r="AT65" s="129"/>
    </row>
    <row r="66" customFormat="false" ht="15" hidden="false" customHeight="true" outlineLevel="0" collapsed="false">
      <c r="A66" s="32"/>
      <c r="B66" s="129"/>
      <c r="C66" s="88"/>
      <c r="D66" s="88"/>
      <c r="E66" s="89" t="s">
        <v>90</v>
      </c>
      <c r="F66" s="90" t="n">
        <v>6.8</v>
      </c>
      <c r="G66" s="91" t="s">
        <v>88</v>
      </c>
      <c r="H66" s="88"/>
      <c r="I66" s="134" t="s">
        <v>91</v>
      </c>
      <c r="J66" s="134"/>
      <c r="K66" s="134"/>
      <c r="L66" s="134"/>
      <c r="M66" s="134"/>
      <c r="N66" s="88"/>
      <c r="O66" s="88"/>
      <c r="P66" s="88"/>
      <c r="Q66" s="88"/>
      <c r="R66" s="88"/>
      <c r="S66" s="88"/>
      <c r="T66" s="88"/>
      <c r="U66" s="88"/>
      <c r="V66" s="88"/>
      <c r="W66" s="88"/>
      <c r="X66" s="88"/>
      <c r="Y66" s="88"/>
      <c r="Z66" s="88"/>
      <c r="AA66" s="88"/>
      <c r="AB66" s="88"/>
      <c r="AC66" s="88"/>
      <c r="AD66" s="88"/>
      <c r="AE66" s="88"/>
      <c r="AF66" s="88"/>
      <c r="AG66" s="88"/>
      <c r="AH66" s="88"/>
      <c r="AI66" s="88"/>
      <c r="AJ66" s="88"/>
      <c r="AK66" s="88"/>
      <c r="AL66" s="88"/>
      <c r="AM66" s="92"/>
      <c r="AT66" s="129"/>
    </row>
    <row r="67" customFormat="false" ht="15" hidden="false" customHeight="true" outlineLevel="0" collapsed="false">
      <c r="A67" s="32"/>
      <c r="B67" s="129"/>
      <c r="C67" s="88"/>
      <c r="D67" s="88"/>
      <c r="E67" s="89" t="s">
        <v>92</v>
      </c>
      <c r="F67" s="133" t="n">
        <f aca="false">Equations!F47</f>
        <v>505.576208178439</v>
      </c>
      <c r="G67" s="91" t="s">
        <v>56</v>
      </c>
      <c r="H67" s="88"/>
      <c r="I67" s="134"/>
      <c r="J67" s="134"/>
      <c r="K67" s="134"/>
      <c r="L67" s="134"/>
      <c r="M67" s="134"/>
      <c r="N67" s="88"/>
      <c r="O67" s="88"/>
      <c r="P67" s="88"/>
      <c r="Q67" s="88"/>
      <c r="R67" s="88"/>
      <c r="S67" s="88"/>
      <c r="T67" s="88"/>
      <c r="U67" s="88"/>
      <c r="V67" s="88"/>
      <c r="W67" s="88"/>
      <c r="X67" s="88"/>
      <c r="Y67" s="88"/>
      <c r="Z67" s="88"/>
      <c r="AA67" s="88"/>
      <c r="AB67" s="88"/>
      <c r="AC67" s="88"/>
      <c r="AD67" s="88"/>
      <c r="AE67" s="88"/>
      <c r="AF67" s="88"/>
      <c r="AG67" s="88"/>
      <c r="AH67" s="88"/>
      <c r="AI67" s="88"/>
      <c r="AJ67" s="88"/>
      <c r="AK67" s="88"/>
      <c r="AL67" s="88"/>
      <c r="AM67" s="92"/>
    </row>
    <row r="68" customFormat="false" ht="13.9" hidden="false" customHeight="false" outlineLevel="0" collapsed="false">
      <c r="A68" s="32"/>
      <c r="B68" s="81" t="s">
        <v>93</v>
      </c>
      <c r="C68" s="82"/>
      <c r="D68" s="82"/>
      <c r="E68" s="123" t="s">
        <v>94</v>
      </c>
      <c r="F68" s="84" t="n">
        <v>0</v>
      </c>
      <c r="G68" s="125" t="s">
        <v>39</v>
      </c>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c r="AK68" s="82"/>
      <c r="AL68" s="82"/>
      <c r="AM68" s="86"/>
      <c r="AN68" s="36"/>
    </row>
    <row r="69" customFormat="false" ht="12.75" hidden="false" customHeight="false" outlineLevel="0" collapsed="false">
      <c r="A69" s="32"/>
      <c r="B69" s="135"/>
      <c r="C69" s="88"/>
      <c r="D69" s="88"/>
      <c r="E69" s="126" t="s">
        <v>95</v>
      </c>
      <c r="F69" s="136" t="s">
        <v>96</v>
      </c>
      <c r="G69" s="94"/>
      <c r="H69" s="88"/>
      <c r="I69" s="88"/>
      <c r="J69" s="88"/>
      <c r="K69" s="88"/>
      <c r="L69" s="88"/>
      <c r="M69" s="88"/>
      <c r="N69" s="88"/>
      <c r="O69" s="88"/>
      <c r="P69" s="88"/>
      <c r="Q69" s="88"/>
      <c r="R69" s="88"/>
      <c r="S69" s="88"/>
      <c r="T69" s="88"/>
      <c r="U69" s="88"/>
      <c r="V69" s="88"/>
      <c r="W69" s="88"/>
      <c r="X69" s="88"/>
      <c r="Y69" s="88"/>
      <c r="Z69" s="88"/>
      <c r="AA69" s="88"/>
      <c r="AB69" s="88"/>
      <c r="AC69" s="88"/>
      <c r="AD69" s="88"/>
      <c r="AE69" s="88"/>
      <c r="AF69" s="88"/>
      <c r="AG69" s="88"/>
      <c r="AH69" s="88"/>
      <c r="AI69" s="88"/>
      <c r="AJ69" s="88"/>
      <c r="AK69" s="88"/>
      <c r="AL69" s="88"/>
      <c r="AM69" s="92"/>
      <c r="AN69" s="36"/>
    </row>
    <row r="70" customFormat="false" ht="12.8" hidden="false" customHeight="false" outlineLevel="0" collapsed="false">
      <c r="A70" s="32"/>
      <c r="B70" s="93"/>
      <c r="C70" s="88"/>
      <c r="D70" s="88"/>
      <c r="E70" s="126" t="s">
        <v>97</v>
      </c>
      <c r="F70" s="90" t="n">
        <v>0.3</v>
      </c>
      <c r="G70" s="94" t="str">
        <f aca="false">IF(F69="Constant Current","A","Ohms")</f>
        <v>A</v>
      </c>
      <c r="H70" s="88"/>
      <c r="I70" s="88"/>
      <c r="J70" s="88"/>
      <c r="K70" s="88"/>
      <c r="L70" s="88"/>
      <c r="M70" s="88"/>
      <c r="N70" s="88"/>
      <c r="O70" s="88"/>
      <c r="P70" s="88"/>
      <c r="Q70" s="88"/>
      <c r="R70" s="88"/>
      <c r="S70" s="88"/>
      <c r="T70" s="88"/>
      <c r="U70" s="88"/>
      <c r="V70" s="88"/>
      <c r="W70" s="88"/>
      <c r="X70" s="88"/>
      <c r="Y70" s="88"/>
      <c r="Z70" s="88"/>
      <c r="AA70" s="88"/>
      <c r="AB70" s="88"/>
      <c r="AC70" s="88"/>
      <c r="AD70" s="88"/>
      <c r="AE70" s="88"/>
      <c r="AF70" s="88"/>
      <c r="AG70" s="88"/>
      <c r="AH70" s="88"/>
      <c r="AI70" s="88"/>
      <c r="AJ70" s="88"/>
      <c r="AK70" s="88"/>
      <c r="AL70" s="88"/>
      <c r="AM70" s="92"/>
      <c r="AN70" s="24" t="s">
        <v>96</v>
      </c>
    </row>
    <row r="71" customFormat="false" ht="12.8" hidden="false" customHeight="false" outlineLevel="0" collapsed="false">
      <c r="A71" s="32"/>
      <c r="B71" s="93"/>
      <c r="C71" s="88"/>
      <c r="D71" s="88"/>
      <c r="E71" s="89" t="s">
        <v>98</v>
      </c>
      <c r="F71" s="107" t="s">
        <v>22</v>
      </c>
      <c r="G71" s="94"/>
      <c r="H71" s="88"/>
      <c r="I71" s="88"/>
      <c r="J71" s="88"/>
      <c r="K71" s="88"/>
      <c r="L71" s="88"/>
      <c r="M71" s="88"/>
      <c r="N71" s="88"/>
      <c r="O71" s="88"/>
      <c r="P71" s="88"/>
      <c r="Q71" s="88"/>
      <c r="R71" s="88"/>
      <c r="S71" s="88"/>
      <c r="T71" s="88"/>
      <c r="U71" s="88"/>
      <c r="V71" s="88"/>
      <c r="W71" s="88"/>
      <c r="X71" s="88"/>
      <c r="Y71" s="88"/>
      <c r="Z71" s="88"/>
      <c r="AA71" s="88"/>
      <c r="AB71" s="88"/>
      <c r="AC71" s="88"/>
      <c r="AD71" s="88"/>
      <c r="AE71" s="88"/>
      <c r="AF71" s="88"/>
      <c r="AG71" s="88"/>
      <c r="AH71" s="88"/>
      <c r="AI71" s="88"/>
      <c r="AJ71" s="88"/>
      <c r="AK71" s="88"/>
      <c r="AL71" s="88"/>
      <c r="AM71" s="92"/>
      <c r="AN71" s="24" t="s">
        <v>99</v>
      </c>
    </row>
    <row r="72" customFormat="false" ht="12.75" hidden="false" customHeight="false" outlineLevel="0" collapsed="false">
      <c r="A72" s="32"/>
      <c r="B72" s="93"/>
      <c r="C72" s="88"/>
      <c r="D72" s="88"/>
      <c r="E72" s="126" t="s">
        <v>100</v>
      </c>
      <c r="F72" s="133" t="n">
        <f aca="false">Start_up!M2</f>
        <v>61.3636363636363</v>
      </c>
      <c r="G72" s="91" t="s">
        <v>101</v>
      </c>
      <c r="H72" s="88"/>
      <c r="I72" s="88"/>
      <c r="J72" s="88"/>
      <c r="K72" s="88"/>
      <c r="L72" s="88"/>
      <c r="M72" s="88"/>
      <c r="N72" s="88"/>
      <c r="O72" s="88"/>
      <c r="P72" s="88"/>
      <c r="Q72" s="88"/>
      <c r="R72" s="88"/>
      <c r="S72" s="88"/>
      <c r="T72" s="88"/>
      <c r="U72" s="88"/>
      <c r="V72" s="88"/>
      <c r="W72" s="88"/>
      <c r="X72" s="88"/>
      <c r="Y72" s="88"/>
      <c r="Z72" s="88"/>
      <c r="AA72" s="88"/>
      <c r="AB72" s="88"/>
      <c r="AC72" s="88"/>
      <c r="AD72" s="88"/>
      <c r="AE72" s="88"/>
      <c r="AF72" s="88"/>
      <c r="AG72" s="88"/>
      <c r="AH72" s="88"/>
      <c r="AI72" s="88"/>
      <c r="AJ72" s="88"/>
      <c r="AK72" s="88"/>
      <c r="AL72" s="88"/>
      <c r="AM72" s="92"/>
      <c r="AN72" s="36"/>
    </row>
    <row r="73" customFormat="false" ht="12.75" hidden="false" customHeight="false" outlineLevel="0" collapsed="false">
      <c r="A73" s="32"/>
      <c r="B73" s="93"/>
      <c r="C73" s="88"/>
      <c r="D73" s="88"/>
      <c r="E73" s="126" t="s">
        <v>102</v>
      </c>
      <c r="F73" s="137" t="n">
        <f aca="false">Start_up!O2</f>
        <v>0.915712799167534</v>
      </c>
      <c r="G73" s="91"/>
      <c r="H73" s="88"/>
      <c r="I73" s="88"/>
      <c r="J73" s="88"/>
      <c r="K73" s="88"/>
      <c r="L73" s="88"/>
      <c r="M73" s="88"/>
      <c r="N73" s="88"/>
      <c r="O73" s="88"/>
      <c r="P73" s="88"/>
      <c r="Q73" s="88"/>
      <c r="R73" s="88"/>
      <c r="S73" s="88"/>
      <c r="T73" s="88"/>
      <c r="U73" s="88"/>
      <c r="V73" s="88"/>
      <c r="W73" s="88"/>
      <c r="X73" s="88"/>
      <c r="Y73" s="88"/>
      <c r="Z73" s="88"/>
      <c r="AA73" s="88"/>
      <c r="AB73" s="88"/>
      <c r="AC73" s="88"/>
      <c r="AD73" s="88"/>
      <c r="AE73" s="88"/>
      <c r="AF73" s="88"/>
      <c r="AG73" s="88"/>
      <c r="AH73" s="88"/>
      <c r="AI73" s="88"/>
      <c r="AJ73" s="88"/>
      <c r="AK73" s="88"/>
      <c r="AL73" s="88"/>
      <c r="AM73" s="92"/>
      <c r="AN73" s="36"/>
    </row>
    <row r="74" customFormat="false" ht="13.15" hidden="false" customHeight="true" outlineLevel="0" collapsed="false">
      <c r="A74" s="32"/>
      <c r="B74" s="135"/>
      <c r="C74" s="88"/>
      <c r="D74" s="88"/>
      <c r="E74" s="89" t="s">
        <v>103</v>
      </c>
      <c r="F74" s="133" t="n">
        <f aca="false">Equations!F55</f>
        <v>107.386363636364</v>
      </c>
      <c r="G74" s="94" t="s">
        <v>101</v>
      </c>
      <c r="H74" s="88"/>
      <c r="I74" s="88"/>
      <c r="J74" s="88"/>
      <c r="K74" s="88"/>
      <c r="L74" s="88"/>
      <c r="M74" s="88"/>
      <c r="N74" s="88"/>
      <c r="O74" s="88"/>
      <c r="P74" s="88"/>
      <c r="Q74" s="88"/>
      <c r="R74" s="88"/>
      <c r="S74" s="88"/>
      <c r="T74" s="88"/>
      <c r="U74" s="88"/>
      <c r="V74" s="88"/>
      <c r="W74" s="88"/>
      <c r="X74" s="88"/>
      <c r="Y74" s="88"/>
      <c r="Z74" s="88"/>
      <c r="AA74" s="88"/>
      <c r="AB74" s="88"/>
      <c r="AC74" s="88"/>
      <c r="AD74" s="88"/>
      <c r="AE74" s="88"/>
      <c r="AF74" s="88"/>
      <c r="AG74" s="88"/>
      <c r="AH74" s="88"/>
      <c r="AI74" s="88"/>
      <c r="AJ74" s="88"/>
      <c r="AK74" s="88"/>
      <c r="AL74" s="88"/>
      <c r="AM74" s="92"/>
    </row>
    <row r="75" customFormat="false" ht="12.6" hidden="false" customHeight="true" outlineLevel="0" collapsed="false">
      <c r="A75" s="32"/>
      <c r="B75" s="93"/>
      <c r="C75" s="88"/>
      <c r="D75" s="88"/>
      <c r="E75" s="126" t="s">
        <v>104</v>
      </c>
      <c r="F75" s="133" t="n">
        <f aca="false">Equations!F56</f>
        <v>671.164772727272</v>
      </c>
      <c r="G75" s="91" t="s">
        <v>105</v>
      </c>
      <c r="H75" s="88"/>
      <c r="I75" s="88"/>
      <c r="J75" s="88"/>
      <c r="K75" s="88"/>
      <c r="L75" s="88"/>
      <c r="M75" s="88"/>
      <c r="N75" s="88"/>
      <c r="O75" s="88"/>
      <c r="P75" s="88"/>
      <c r="Q75" s="88"/>
      <c r="R75" s="88"/>
      <c r="S75" s="88"/>
      <c r="T75" s="88"/>
      <c r="U75" s="88"/>
      <c r="V75" s="88"/>
      <c r="W75" s="88"/>
      <c r="X75" s="88"/>
      <c r="Y75" s="88"/>
      <c r="Z75" s="88"/>
      <c r="AA75" s="88"/>
      <c r="AB75" s="88"/>
      <c r="AC75" s="88"/>
      <c r="AD75" s="88"/>
      <c r="AE75" s="88"/>
      <c r="AF75" s="88"/>
      <c r="AG75" s="88"/>
      <c r="AH75" s="88"/>
      <c r="AI75" s="88"/>
      <c r="AJ75" s="88"/>
      <c r="AK75" s="88"/>
      <c r="AL75" s="88"/>
      <c r="AM75" s="92"/>
    </row>
    <row r="76" customFormat="false" ht="15" hidden="false" customHeight="true" outlineLevel="0" collapsed="false">
      <c r="A76" s="32"/>
      <c r="B76" s="93"/>
      <c r="C76" s="88"/>
      <c r="D76" s="88"/>
      <c r="E76" s="126" t="s">
        <v>106</v>
      </c>
      <c r="F76" s="90" t="n">
        <v>220</v>
      </c>
      <c r="G76" s="91" t="s">
        <v>105</v>
      </c>
      <c r="H76" s="88"/>
      <c r="I76" s="88"/>
      <c r="J76" s="88"/>
      <c r="K76" s="88"/>
      <c r="L76" s="88"/>
      <c r="M76" s="88"/>
      <c r="N76" s="88"/>
      <c r="O76" s="88"/>
      <c r="P76" s="88"/>
      <c r="Q76" s="88"/>
      <c r="R76" s="88"/>
      <c r="S76" s="88"/>
      <c r="T76" s="88"/>
      <c r="U76" s="88"/>
      <c r="V76" s="88"/>
      <c r="W76" s="88"/>
      <c r="X76" s="88"/>
      <c r="Y76" s="88"/>
      <c r="Z76" s="88"/>
      <c r="AA76" s="88"/>
      <c r="AB76" s="88"/>
      <c r="AC76" s="88"/>
      <c r="AD76" s="88"/>
      <c r="AE76" s="88"/>
      <c r="AF76" s="88"/>
      <c r="AG76" s="88"/>
      <c r="AH76" s="88"/>
      <c r="AI76" s="88"/>
      <c r="AJ76" s="88"/>
      <c r="AK76" s="88"/>
      <c r="AL76" s="88"/>
      <c r="AM76" s="92"/>
    </row>
    <row r="77" customFormat="false" ht="15" hidden="false" customHeight="true" outlineLevel="0" collapsed="false">
      <c r="A77" s="32"/>
      <c r="B77" s="138" t="s">
        <v>93</v>
      </c>
      <c r="C77" s="88"/>
      <c r="D77" s="88"/>
      <c r="E77" s="126" t="s">
        <v>107</v>
      </c>
      <c r="F77" s="133" t="n">
        <f aca="false">Equations!F58</f>
        <v>35.2</v>
      </c>
      <c r="G77" s="91" t="s">
        <v>101</v>
      </c>
      <c r="H77" s="88"/>
      <c r="I77" s="88"/>
      <c r="J77" s="88"/>
      <c r="K77" s="88"/>
      <c r="L77" s="88"/>
      <c r="M77" s="88"/>
      <c r="N77" s="88"/>
      <c r="O77" s="88"/>
      <c r="P77" s="88"/>
      <c r="Q77" s="88"/>
      <c r="R77" s="88"/>
      <c r="S77" s="88"/>
      <c r="T77" s="88"/>
      <c r="U77" s="88"/>
      <c r="V77" s="88"/>
      <c r="W77" s="88"/>
      <c r="X77" s="88"/>
      <c r="Y77" s="88"/>
      <c r="Z77" s="88"/>
      <c r="AA77" s="88"/>
      <c r="AB77" s="88"/>
      <c r="AC77" s="88"/>
      <c r="AD77" s="88"/>
      <c r="AE77" s="88"/>
      <c r="AF77" s="88"/>
      <c r="AG77" s="88"/>
      <c r="AH77" s="88"/>
      <c r="AI77" s="88"/>
      <c r="AJ77" s="88"/>
      <c r="AK77" s="88"/>
      <c r="AL77" s="88"/>
      <c r="AM77" s="92"/>
    </row>
    <row r="78" customFormat="false" ht="15" hidden="false" customHeight="true" outlineLevel="0" collapsed="false">
      <c r="A78" s="32"/>
      <c r="B78" s="93"/>
      <c r="C78" s="88"/>
      <c r="D78" s="88"/>
      <c r="E78" s="126" t="s">
        <v>108</v>
      </c>
      <c r="F78" s="133" t="n">
        <f aca="false">Equations!F59</f>
        <v>1.53123563790808</v>
      </c>
      <c r="G78" s="91"/>
      <c r="H78" s="88"/>
      <c r="I78" s="88"/>
      <c r="J78" s="88"/>
      <c r="K78" s="88"/>
      <c r="L78" s="88"/>
      <c r="M78" s="88"/>
      <c r="N78" s="88"/>
      <c r="O78" s="88"/>
      <c r="P78" s="88"/>
      <c r="Q78" s="88"/>
      <c r="R78" s="88"/>
      <c r="S78" s="88"/>
      <c r="T78" s="88"/>
      <c r="U78" s="88"/>
      <c r="V78" s="88"/>
      <c r="W78" s="88"/>
      <c r="X78" s="88"/>
      <c r="Y78" s="88"/>
      <c r="Z78" s="88"/>
      <c r="AA78" s="88"/>
      <c r="AB78" s="88"/>
      <c r="AC78" s="88"/>
      <c r="AD78" s="88"/>
      <c r="AE78" s="88"/>
      <c r="AF78" s="88"/>
      <c r="AG78" s="88"/>
      <c r="AH78" s="88"/>
      <c r="AI78" s="88"/>
      <c r="AJ78" s="88"/>
      <c r="AK78" s="88"/>
      <c r="AL78" s="88"/>
      <c r="AM78" s="92"/>
    </row>
    <row r="79" customFormat="false" ht="15" hidden="false" customHeight="true" outlineLevel="0" collapsed="false">
      <c r="A79" s="32"/>
      <c r="B79" s="93"/>
      <c r="C79" s="88"/>
      <c r="D79" s="88"/>
      <c r="E79" s="126" t="s">
        <v>109</v>
      </c>
      <c r="F79" s="107" t="s">
        <v>24</v>
      </c>
      <c r="G79" s="91"/>
      <c r="H79" s="88"/>
      <c r="I79" s="88"/>
      <c r="J79" s="88"/>
      <c r="K79" s="88"/>
      <c r="L79" s="88"/>
      <c r="M79" s="88"/>
      <c r="N79" s="88"/>
      <c r="O79" s="88"/>
      <c r="P79" s="88"/>
      <c r="Q79" s="88"/>
      <c r="R79" s="88"/>
      <c r="S79" s="88"/>
      <c r="T79" s="88"/>
      <c r="U79" s="88"/>
      <c r="V79" s="88"/>
      <c r="W79" s="88"/>
      <c r="X79" s="88"/>
      <c r="Y79" s="88"/>
      <c r="Z79" s="88"/>
      <c r="AA79" s="88"/>
      <c r="AB79" s="88"/>
      <c r="AC79" s="88"/>
      <c r="AD79" s="88"/>
      <c r="AE79" s="88"/>
      <c r="AF79" s="88"/>
      <c r="AG79" s="88"/>
      <c r="AH79" s="88"/>
      <c r="AI79" s="88"/>
      <c r="AJ79" s="88"/>
      <c r="AK79" s="88"/>
      <c r="AL79" s="88"/>
      <c r="AM79" s="92"/>
    </row>
    <row r="80" customFormat="false" ht="15" hidden="false" customHeight="true" outlineLevel="0" collapsed="false">
      <c r="A80" s="32"/>
      <c r="B80" s="93"/>
      <c r="C80" s="88"/>
      <c r="D80" s="88"/>
      <c r="E80" s="126" t="s">
        <v>110</v>
      </c>
      <c r="F80" s="133" t="n">
        <f aca="false">dv_dt_recommendations!L29</f>
        <v>0.889839006663783</v>
      </c>
      <c r="G80" s="91" t="s">
        <v>111</v>
      </c>
      <c r="H80" s="88"/>
      <c r="I80" s="88"/>
      <c r="J80" s="88"/>
      <c r="K80" s="88"/>
      <c r="L80" s="88"/>
      <c r="M80" s="88"/>
      <c r="N80" s="88"/>
      <c r="O80" s="88"/>
      <c r="P80" s="88"/>
      <c r="Q80" s="88"/>
      <c r="R80" s="88"/>
      <c r="S80" s="88"/>
      <c r="T80" s="88"/>
      <c r="U80" s="88"/>
      <c r="V80" s="88"/>
      <c r="W80" s="88"/>
      <c r="X80" s="88"/>
      <c r="Y80" s="88"/>
      <c r="Z80" s="88"/>
      <c r="AA80" s="88"/>
      <c r="AB80" s="88"/>
      <c r="AC80" s="88"/>
      <c r="AD80" s="88"/>
      <c r="AE80" s="88"/>
      <c r="AF80" s="88"/>
      <c r="AG80" s="88"/>
      <c r="AH80" s="88"/>
      <c r="AI80" s="88"/>
      <c r="AJ80" s="88"/>
      <c r="AK80" s="88"/>
      <c r="AL80" s="88"/>
      <c r="AM80" s="92"/>
    </row>
    <row r="81" customFormat="false" ht="15" hidden="false" customHeight="true" outlineLevel="0" collapsed="false">
      <c r="A81" s="32"/>
      <c r="B81" s="93"/>
      <c r="C81" s="88"/>
      <c r="D81" s="88"/>
      <c r="E81" s="126" t="s">
        <v>112</v>
      </c>
      <c r="F81" s="133" t="n">
        <f aca="false">dv_dt_recommendations!L30</f>
        <v>0.0946943219302039</v>
      </c>
      <c r="G81" s="91" t="s">
        <v>111</v>
      </c>
      <c r="H81" s="88"/>
      <c r="I81" s="88"/>
      <c r="J81" s="88"/>
      <c r="K81" s="88"/>
      <c r="L81" s="88"/>
      <c r="M81" s="88"/>
      <c r="N81" s="88"/>
      <c r="O81" s="88"/>
      <c r="P81" s="88"/>
      <c r="Q81" s="88"/>
      <c r="R81" s="88"/>
      <c r="S81" s="88"/>
      <c r="T81" s="88"/>
      <c r="U81" s="88"/>
      <c r="V81" s="88"/>
      <c r="W81" s="88"/>
      <c r="X81" s="88"/>
      <c r="Y81" s="88"/>
      <c r="Z81" s="88"/>
      <c r="AA81" s="88"/>
      <c r="AB81" s="88"/>
      <c r="AC81" s="88"/>
      <c r="AD81" s="88"/>
      <c r="AE81" s="88"/>
      <c r="AF81" s="88"/>
      <c r="AG81" s="88"/>
      <c r="AH81" s="88"/>
      <c r="AI81" s="88"/>
      <c r="AJ81" s="88"/>
      <c r="AK81" s="88"/>
      <c r="AL81" s="88"/>
      <c r="AM81" s="92"/>
    </row>
    <row r="82" customFormat="false" ht="15" hidden="false" customHeight="true" outlineLevel="0" collapsed="false">
      <c r="A82" s="32"/>
      <c r="B82" s="139" t="s">
        <v>113</v>
      </c>
      <c r="C82" s="139"/>
      <c r="D82" s="88"/>
      <c r="E82" s="140" t="s">
        <v>114</v>
      </c>
      <c r="F82" s="90" t="n">
        <v>0.25</v>
      </c>
      <c r="G82" s="91" t="s">
        <v>111</v>
      </c>
      <c r="H82" s="88"/>
      <c r="I82" s="88"/>
      <c r="J82" s="88"/>
      <c r="K82" s="88"/>
      <c r="L82" s="88"/>
      <c r="M82" s="88"/>
      <c r="N82" s="88"/>
      <c r="O82" s="88"/>
      <c r="P82" s="88"/>
      <c r="Q82" s="88"/>
      <c r="R82" s="88"/>
      <c r="S82" s="88"/>
      <c r="T82" s="88"/>
      <c r="U82" s="88"/>
      <c r="V82" s="88"/>
      <c r="W82" s="88"/>
      <c r="X82" s="88"/>
      <c r="Y82" s="88"/>
      <c r="Z82" s="88"/>
      <c r="AA82" s="88"/>
      <c r="AB82" s="88"/>
      <c r="AC82" s="88"/>
      <c r="AD82" s="88"/>
      <c r="AE82" s="88"/>
      <c r="AF82" s="88"/>
      <c r="AG82" s="88"/>
      <c r="AH82" s="88"/>
      <c r="AI82" s="88"/>
      <c r="AJ82" s="88"/>
      <c r="AK82" s="88"/>
      <c r="AL82" s="88"/>
      <c r="AM82" s="92"/>
    </row>
    <row r="83" customFormat="false" ht="15" hidden="false" customHeight="true" outlineLevel="0" collapsed="false">
      <c r="A83" s="32"/>
      <c r="B83" s="139"/>
      <c r="C83" s="139"/>
      <c r="D83" s="88"/>
      <c r="E83" s="140" t="s">
        <v>115</v>
      </c>
      <c r="F83" s="133" t="n">
        <f aca="false">Equations!F63</f>
        <v>88</v>
      </c>
      <c r="G83" s="141" t="s">
        <v>105</v>
      </c>
      <c r="H83" s="88"/>
      <c r="I83" s="88"/>
      <c r="J83" s="88"/>
      <c r="K83" s="88"/>
      <c r="L83" s="88"/>
      <c r="M83" s="88"/>
      <c r="N83" s="88"/>
      <c r="O83" s="88"/>
      <c r="P83" s="88"/>
      <c r="Q83" s="88"/>
      <c r="R83" s="88"/>
      <c r="S83" s="88"/>
      <c r="T83" s="88"/>
      <c r="U83" s="88"/>
      <c r="V83" s="88"/>
      <c r="W83" s="88"/>
      <c r="X83" s="88"/>
      <c r="Y83" s="88"/>
      <c r="Z83" s="88"/>
      <c r="AA83" s="88"/>
      <c r="AB83" s="88"/>
      <c r="AC83" s="88"/>
      <c r="AD83" s="88"/>
      <c r="AE83" s="88"/>
      <c r="AF83" s="88"/>
      <c r="AG83" s="88"/>
      <c r="AH83" s="88"/>
      <c r="AI83" s="88"/>
      <c r="AJ83" s="88"/>
      <c r="AK83" s="88"/>
      <c r="AL83" s="88"/>
      <c r="AM83" s="92"/>
    </row>
    <row r="84" customFormat="false" ht="15" hidden="false" customHeight="true" outlineLevel="0" collapsed="false">
      <c r="A84" s="32"/>
      <c r="B84" s="139"/>
      <c r="C84" s="139"/>
      <c r="D84" s="88"/>
      <c r="E84" s="140" t="s">
        <v>116</v>
      </c>
      <c r="F84" s="90" t="n">
        <v>27</v>
      </c>
      <c r="G84" s="91" t="s">
        <v>105</v>
      </c>
      <c r="H84" s="88"/>
      <c r="I84" s="88"/>
      <c r="J84" s="88"/>
      <c r="K84" s="88"/>
      <c r="L84" s="88"/>
      <c r="M84" s="88"/>
      <c r="N84" s="88"/>
      <c r="O84" s="88"/>
      <c r="P84" s="88"/>
      <c r="Q84" s="88"/>
      <c r="R84" s="88"/>
      <c r="S84" s="88"/>
      <c r="T84" s="88"/>
      <c r="U84" s="88"/>
      <c r="V84" s="88"/>
      <c r="W84" s="88"/>
      <c r="X84" s="88"/>
      <c r="Y84" s="88"/>
      <c r="Z84" s="88"/>
      <c r="AA84" s="88"/>
      <c r="AB84" s="88"/>
      <c r="AC84" s="88"/>
      <c r="AD84" s="88"/>
      <c r="AE84" s="88"/>
      <c r="AF84" s="88"/>
      <c r="AG84" s="88"/>
      <c r="AH84" s="88"/>
      <c r="AI84" s="88"/>
      <c r="AJ84" s="88"/>
      <c r="AK84" s="88"/>
      <c r="AL84" s="88"/>
      <c r="AM84" s="92"/>
    </row>
    <row r="85" customFormat="false" ht="15" hidden="false" customHeight="true" outlineLevel="0" collapsed="false">
      <c r="A85" s="32"/>
      <c r="B85" s="139"/>
      <c r="C85" s="139"/>
      <c r="D85" s="88"/>
      <c r="E85" s="140" t="s">
        <v>117</v>
      </c>
      <c r="F85" s="133" t="n">
        <f aca="false">Equations!F65</f>
        <v>0.814814814814815</v>
      </c>
      <c r="G85" s="91" t="s">
        <v>111</v>
      </c>
      <c r="H85" s="88"/>
      <c r="I85" s="88"/>
      <c r="J85" s="88"/>
      <c r="K85" s="88"/>
      <c r="L85" s="88"/>
      <c r="M85" s="88"/>
      <c r="N85" s="88"/>
      <c r="O85" s="88"/>
      <c r="P85" s="88"/>
      <c r="Q85" s="88"/>
      <c r="R85" s="88"/>
      <c r="S85" s="88"/>
      <c r="T85" s="88"/>
      <c r="U85" s="88"/>
      <c r="V85" s="88"/>
      <c r="W85" s="88"/>
      <c r="X85" s="88"/>
      <c r="Y85" s="88"/>
      <c r="Z85" s="88"/>
      <c r="AA85" s="88"/>
      <c r="AB85" s="88"/>
      <c r="AC85" s="88"/>
      <c r="AD85" s="88"/>
      <c r="AE85" s="88"/>
      <c r="AF85" s="88"/>
      <c r="AG85" s="88"/>
      <c r="AH85" s="88"/>
      <c r="AI85" s="88"/>
      <c r="AJ85" s="88"/>
      <c r="AK85" s="88"/>
      <c r="AL85" s="88"/>
      <c r="AM85" s="92"/>
    </row>
    <row r="86" customFormat="false" ht="16.9" hidden="false" customHeight="true" outlineLevel="0" collapsed="false">
      <c r="A86" s="32"/>
      <c r="B86" s="139"/>
      <c r="C86" s="139"/>
      <c r="D86" s="88"/>
      <c r="E86" s="140" t="s">
        <v>118</v>
      </c>
      <c r="F86" s="133" t="n">
        <f aca="false">Equations!F72</f>
        <v>1.76762182382586</v>
      </c>
      <c r="G86" s="91"/>
      <c r="H86" s="88"/>
      <c r="I86" s="88"/>
      <c r="J86" s="88"/>
      <c r="K86" s="88"/>
      <c r="L86" s="88"/>
      <c r="M86" s="88"/>
      <c r="N86" s="88"/>
      <c r="O86" s="88"/>
      <c r="P86" s="88"/>
      <c r="Q86" s="88"/>
      <c r="R86" s="88"/>
      <c r="S86" s="88"/>
      <c r="T86" s="88"/>
      <c r="U86" s="88"/>
      <c r="V86" s="88"/>
      <c r="W86" s="88"/>
      <c r="X86" s="88"/>
      <c r="Y86" s="88"/>
      <c r="Z86" s="88"/>
      <c r="AA86" s="88"/>
      <c r="AB86" s="88"/>
      <c r="AC86" s="88"/>
      <c r="AD86" s="88"/>
      <c r="AE86" s="88"/>
      <c r="AF86" s="88"/>
      <c r="AG86" s="88"/>
      <c r="AH86" s="88"/>
      <c r="AI86" s="88"/>
      <c r="AJ86" s="88"/>
      <c r="AK86" s="88"/>
      <c r="AL86" s="88"/>
      <c r="AM86" s="92"/>
    </row>
    <row r="87" customFormat="false" ht="16.9" hidden="false" customHeight="true" outlineLevel="0" collapsed="false">
      <c r="A87" s="32"/>
      <c r="B87" s="93"/>
      <c r="C87" s="88"/>
      <c r="D87" s="88"/>
      <c r="E87" s="140" t="s">
        <v>119</v>
      </c>
      <c r="F87" s="90" t="n">
        <v>0.4</v>
      </c>
      <c r="G87" s="91" t="s">
        <v>101</v>
      </c>
      <c r="H87" s="88"/>
      <c r="I87" s="88"/>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8"/>
      <c r="AI87" s="88"/>
      <c r="AJ87" s="88"/>
      <c r="AK87" s="88"/>
      <c r="AL87" s="88"/>
      <c r="AM87" s="92"/>
    </row>
    <row r="88" customFormat="false" ht="16.9" hidden="false" customHeight="true" outlineLevel="0" collapsed="false">
      <c r="A88" s="32"/>
      <c r="B88" s="93"/>
      <c r="C88" s="88"/>
      <c r="D88" s="88"/>
      <c r="E88" s="140" t="s">
        <v>120</v>
      </c>
      <c r="F88" s="133" t="n">
        <f aca="false">Equations!F77</f>
        <v>2.5</v>
      </c>
      <c r="G88" s="91" t="s">
        <v>105</v>
      </c>
      <c r="H88" s="88"/>
      <c r="I88" s="88"/>
      <c r="J88" s="88"/>
      <c r="K88" s="88"/>
      <c r="L88" s="88"/>
      <c r="M88" s="88"/>
      <c r="N88" s="88"/>
      <c r="O88" s="88"/>
      <c r="P88" s="88"/>
      <c r="Q88" s="88"/>
      <c r="R88" s="88"/>
      <c r="S88" s="88"/>
      <c r="T88" s="88"/>
      <c r="U88" s="88"/>
      <c r="V88" s="88"/>
      <c r="W88" s="88"/>
      <c r="X88" s="88"/>
      <c r="Y88" s="88"/>
      <c r="Z88" s="88"/>
      <c r="AA88" s="88"/>
      <c r="AB88" s="88"/>
      <c r="AC88" s="88"/>
      <c r="AD88" s="88"/>
      <c r="AE88" s="88"/>
      <c r="AF88" s="88"/>
      <c r="AG88" s="88"/>
      <c r="AH88" s="88"/>
      <c r="AI88" s="88"/>
      <c r="AJ88" s="88"/>
      <c r="AK88" s="88"/>
      <c r="AL88" s="88"/>
      <c r="AM88" s="92"/>
    </row>
    <row r="89" customFormat="false" ht="16.9" hidden="false" customHeight="true" outlineLevel="0" collapsed="false">
      <c r="A89" s="32"/>
      <c r="B89" s="93"/>
      <c r="C89" s="88"/>
      <c r="D89" s="88"/>
      <c r="E89" s="140" t="s">
        <v>121</v>
      </c>
      <c r="F89" s="90" t="n">
        <v>10</v>
      </c>
      <c r="G89" s="91" t="s">
        <v>105</v>
      </c>
      <c r="H89" s="88"/>
      <c r="I89" s="88"/>
      <c r="J89" s="88"/>
      <c r="K89" s="88"/>
      <c r="L89" s="88"/>
      <c r="M89" s="88"/>
      <c r="N89" s="88"/>
      <c r="O89" s="88"/>
      <c r="P89" s="88"/>
      <c r="Q89" s="88"/>
      <c r="R89" s="88"/>
      <c r="S89" s="88"/>
      <c r="T89" s="88"/>
      <c r="U89" s="88"/>
      <c r="V89" s="88"/>
      <c r="W89" s="88"/>
      <c r="X89" s="88"/>
      <c r="Y89" s="88"/>
      <c r="Z89" s="88"/>
      <c r="AA89" s="88"/>
      <c r="AB89" s="88"/>
      <c r="AC89" s="88"/>
      <c r="AD89" s="88"/>
      <c r="AE89" s="88"/>
      <c r="AF89" s="88"/>
      <c r="AG89" s="88"/>
      <c r="AH89" s="88"/>
      <c r="AI89" s="88"/>
      <c r="AJ89" s="88"/>
      <c r="AK89" s="88"/>
      <c r="AL89" s="88"/>
      <c r="AM89" s="92"/>
    </row>
    <row r="90" customFormat="false" ht="15" hidden="false" customHeight="true" outlineLevel="0" collapsed="false">
      <c r="A90" s="32"/>
      <c r="B90" s="93"/>
      <c r="C90" s="88"/>
      <c r="D90" s="88"/>
      <c r="E90" s="126" t="s">
        <v>122</v>
      </c>
      <c r="F90" s="133" t="n">
        <f aca="false">Equations!F79</f>
        <v>1.6</v>
      </c>
      <c r="G90" s="91" t="s">
        <v>101</v>
      </c>
      <c r="H90" s="88"/>
      <c r="I90" s="88"/>
      <c r="J90" s="88"/>
      <c r="K90" s="88"/>
      <c r="L90" s="88"/>
      <c r="M90" s="88"/>
      <c r="N90" s="88"/>
      <c r="O90" s="88"/>
      <c r="P90" s="88"/>
      <c r="Q90" s="88"/>
      <c r="R90" s="88"/>
      <c r="S90" s="88"/>
      <c r="T90" s="88"/>
      <c r="U90" s="88"/>
      <c r="V90" s="88"/>
      <c r="W90" s="88"/>
      <c r="X90" s="88"/>
      <c r="Y90" s="88"/>
      <c r="Z90" s="88"/>
      <c r="AA90" s="88"/>
      <c r="AB90" s="88"/>
      <c r="AC90" s="88"/>
      <c r="AD90" s="88"/>
      <c r="AE90" s="88"/>
      <c r="AF90" s="88"/>
      <c r="AG90" s="88"/>
      <c r="AH90" s="88"/>
      <c r="AI90" s="88"/>
      <c r="AJ90" s="88"/>
      <c r="AK90" s="88"/>
      <c r="AL90" s="88"/>
      <c r="AM90" s="142" t="s">
        <v>123</v>
      </c>
    </row>
    <row r="91" customFormat="false" ht="31.9" hidden="false" customHeight="true" outlineLevel="0" collapsed="false">
      <c r="A91" s="32"/>
      <c r="B91" s="99"/>
      <c r="C91" s="100"/>
      <c r="D91" s="100"/>
      <c r="E91" s="143" t="s">
        <v>124</v>
      </c>
      <c r="F91" s="144" t="n">
        <f aca="false">Equations!F81</f>
        <v>1.53123563790808</v>
      </c>
      <c r="G91" s="145"/>
      <c r="H91" s="100"/>
      <c r="I91" s="100"/>
      <c r="J91" s="100"/>
      <c r="K91" s="100"/>
      <c r="L91" s="100"/>
      <c r="M91" s="100"/>
      <c r="N91" s="100"/>
      <c r="O91" s="100"/>
      <c r="P91" s="100"/>
      <c r="Q91" s="100"/>
      <c r="R91" s="100"/>
      <c r="S91" s="100"/>
      <c r="T91" s="100"/>
      <c r="U91" s="100"/>
      <c r="V91" s="100"/>
      <c r="W91" s="100"/>
      <c r="X91" s="100"/>
      <c r="Y91" s="100"/>
      <c r="Z91" s="100"/>
      <c r="AA91" s="100"/>
      <c r="AB91" s="100"/>
      <c r="AC91" s="100"/>
      <c r="AD91" s="100"/>
      <c r="AE91" s="100"/>
      <c r="AF91" s="100"/>
      <c r="AG91" s="100"/>
      <c r="AH91" s="100"/>
      <c r="AI91" s="100"/>
      <c r="AJ91" s="100"/>
      <c r="AK91" s="100"/>
      <c r="AL91" s="100"/>
      <c r="AM91" s="146"/>
    </row>
    <row r="92" customFormat="false" ht="15" hidden="false" customHeight="true" outlineLevel="0" collapsed="false">
      <c r="A92" s="32"/>
      <c r="B92" s="147" t="s">
        <v>125</v>
      </c>
      <c r="C92" s="148"/>
      <c r="D92" s="88"/>
      <c r="E92" s="149" t="s">
        <v>126</v>
      </c>
      <c r="F92" s="150" t="n">
        <v>30</v>
      </c>
      <c r="G92" s="151" t="s">
        <v>39</v>
      </c>
      <c r="H92" s="88"/>
      <c r="I92" s="88"/>
      <c r="J92" s="88"/>
      <c r="K92" s="88"/>
      <c r="L92" s="88"/>
      <c r="M92" s="88"/>
      <c r="N92" s="88"/>
      <c r="O92" s="88"/>
      <c r="P92" s="88"/>
      <c r="Q92" s="88"/>
      <c r="R92" s="88"/>
      <c r="S92" s="88"/>
      <c r="T92" s="88"/>
      <c r="U92" s="88"/>
      <c r="V92" s="88"/>
      <c r="W92" s="88"/>
      <c r="X92" s="88"/>
      <c r="Y92" s="88"/>
      <c r="Z92" s="88"/>
      <c r="AA92" s="88"/>
      <c r="AB92" s="88"/>
      <c r="AC92" s="88"/>
      <c r="AD92" s="88"/>
      <c r="AE92" s="88"/>
      <c r="AF92" s="88"/>
      <c r="AG92" s="88"/>
      <c r="AH92" s="88"/>
      <c r="AI92" s="88"/>
      <c r="AJ92" s="88"/>
      <c r="AK92" s="88"/>
      <c r="AL92" s="88"/>
      <c r="AM92" s="92"/>
      <c r="AN92" s="36" t="s">
        <v>127</v>
      </c>
    </row>
    <row r="93" customFormat="false" ht="15" hidden="false" customHeight="true" outlineLevel="0" collapsed="false">
      <c r="A93" s="32"/>
      <c r="B93" s="93"/>
      <c r="C93" s="88"/>
      <c r="D93" s="88"/>
      <c r="E93" s="149" t="s">
        <v>128</v>
      </c>
      <c r="F93" s="152" t="n">
        <v>10</v>
      </c>
      <c r="G93" s="151" t="s">
        <v>88</v>
      </c>
      <c r="H93" s="88"/>
      <c r="I93" s="88"/>
      <c r="J93" s="88"/>
      <c r="K93" s="88"/>
      <c r="L93" s="88"/>
      <c r="M93" s="88"/>
      <c r="N93" s="88"/>
      <c r="O93" s="88"/>
      <c r="P93" s="88"/>
      <c r="Q93" s="88"/>
      <c r="R93" s="88"/>
      <c r="S93" s="88"/>
      <c r="T93" s="88"/>
      <c r="U93" s="88"/>
      <c r="V93" s="88"/>
      <c r="W93" s="88"/>
      <c r="X93" s="88"/>
      <c r="Y93" s="88"/>
      <c r="Z93" s="88"/>
      <c r="AA93" s="88"/>
      <c r="AB93" s="88"/>
      <c r="AC93" s="88"/>
      <c r="AD93" s="88"/>
      <c r="AE93" s="88"/>
      <c r="AF93" s="88"/>
      <c r="AG93" s="88"/>
      <c r="AH93" s="88"/>
      <c r="AI93" s="88"/>
      <c r="AJ93" s="88"/>
      <c r="AK93" s="88"/>
      <c r="AL93" s="88"/>
      <c r="AM93" s="92"/>
    </row>
    <row r="94" customFormat="false" ht="15" hidden="false" customHeight="true" outlineLevel="0" collapsed="false">
      <c r="A94" s="32"/>
      <c r="B94" s="93"/>
      <c r="C94" s="88"/>
      <c r="D94" s="88"/>
      <c r="E94" s="149" t="s">
        <v>129</v>
      </c>
      <c r="F94" s="90" t="n">
        <v>10</v>
      </c>
      <c r="G94" s="151" t="s">
        <v>88</v>
      </c>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c r="AH94" s="88"/>
      <c r="AI94" s="88"/>
      <c r="AJ94" s="88"/>
      <c r="AK94" s="88"/>
      <c r="AL94" s="88"/>
      <c r="AM94" s="92"/>
    </row>
    <row r="95" customFormat="false" ht="15" hidden="false" customHeight="true" outlineLevel="0" collapsed="false">
      <c r="A95" s="32"/>
      <c r="B95" s="93"/>
      <c r="C95" s="88"/>
      <c r="D95" s="88"/>
      <c r="E95" s="149" t="s">
        <v>130</v>
      </c>
      <c r="F95" s="152" t="n">
        <f aca="false">Equations!F89</f>
        <v>212.222222222222</v>
      </c>
      <c r="G95" s="151" t="s">
        <v>88</v>
      </c>
      <c r="H95" s="88"/>
      <c r="I95" s="88"/>
      <c r="J95" s="88"/>
      <c r="K95" s="88"/>
      <c r="L95" s="88"/>
      <c r="M95" s="88"/>
      <c r="N95" s="88"/>
      <c r="O95" s="88"/>
      <c r="P95" s="88"/>
      <c r="Q95" s="88"/>
      <c r="R95" s="88"/>
      <c r="S95" s="88"/>
      <c r="T95" s="88"/>
      <c r="U95" s="88"/>
      <c r="V95" s="88"/>
      <c r="W95" s="88"/>
      <c r="X95" s="88"/>
      <c r="Y95" s="88"/>
      <c r="Z95" s="88"/>
      <c r="AA95" s="88"/>
      <c r="AB95" s="88"/>
      <c r="AC95" s="88"/>
      <c r="AD95" s="88"/>
      <c r="AE95" s="88"/>
      <c r="AF95" s="88"/>
      <c r="AG95" s="88"/>
      <c r="AH95" s="88"/>
      <c r="AI95" s="88"/>
      <c r="AJ95" s="88"/>
      <c r="AK95" s="88"/>
      <c r="AL95" s="88"/>
      <c r="AM95" s="92"/>
    </row>
    <row r="96" customFormat="false" ht="15" hidden="false" customHeight="true" outlineLevel="0" collapsed="false">
      <c r="A96" s="32"/>
      <c r="B96" s="93"/>
      <c r="C96" s="88"/>
      <c r="D96" s="88"/>
      <c r="E96" s="149" t="s">
        <v>131</v>
      </c>
      <c r="F96" s="90" t="n">
        <v>212</v>
      </c>
      <c r="G96" s="151" t="s">
        <v>88</v>
      </c>
      <c r="H96" s="88"/>
      <c r="I96" s="88"/>
      <c r="J96" s="153"/>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92"/>
    </row>
    <row r="97" customFormat="false" ht="15" hidden="false" customHeight="true" outlineLevel="0" collapsed="false">
      <c r="A97" s="32"/>
      <c r="B97" s="93"/>
      <c r="C97" s="88"/>
      <c r="D97" s="88"/>
      <c r="E97" s="88"/>
      <c r="F97" s="88"/>
      <c r="G97" s="154"/>
      <c r="H97" s="88"/>
      <c r="I97" s="88"/>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c r="AK97" s="88"/>
      <c r="AL97" s="88"/>
      <c r="AM97" s="92"/>
    </row>
    <row r="98" customFormat="false" ht="15" hidden="false" customHeight="true" outlineLevel="0" collapsed="false">
      <c r="A98" s="32"/>
      <c r="B98" s="93"/>
      <c r="C98" s="155" t="s">
        <v>132</v>
      </c>
      <c r="D98" s="156" t="s">
        <v>133</v>
      </c>
      <c r="E98" s="156" t="s">
        <v>134</v>
      </c>
      <c r="F98" s="156" t="s">
        <v>135</v>
      </c>
      <c r="G98" s="154"/>
      <c r="H98" s="88"/>
      <c r="I98" s="88"/>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c r="AK98" s="88"/>
      <c r="AL98" s="88"/>
      <c r="AM98" s="92"/>
    </row>
    <row r="99" customFormat="false" ht="15" hidden="false" customHeight="true" outlineLevel="0" collapsed="false">
      <c r="A99" s="32"/>
      <c r="B99" s="97" t="s">
        <v>125</v>
      </c>
      <c r="C99" s="126" t="s">
        <v>136</v>
      </c>
      <c r="D99" s="157" t="n">
        <f aca="false">Equations!E94</f>
        <v>29.304</v>
      </c>
      <c r="E99" s="157" t="n">
        <f aca="false">Equations!F94</f>
        <v>29.97</v>
      </c>
      <c r="F99" s="157" t="n">
        <f aca="false">Equations!G94</f>
        <v>30.636</v>
      </c>
      <c r="G99" s="151" t="s">
        <v>39</v>
      </c>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c r="AK99" s="88"/>
      <c r="AL99" s="88"/>
      <c r="AM99" s="92"/>
    </row>
    <row r="100" customFormat="false" ht="15" hidden="false" customHeight="true" outlineLevel="0" collapsed="false">
      <c r="A100" s="32"/>
      <c r="B100" s="97"/>
      <c r="C100" s="126" t="s">
        <v>137</v>
      </c>
      <c r="D100" s="157" t="n">
        <f aca="false">Equations!E95</f>
        <v>27.084</v>
      </c>
      <c r="E100" s="157" t="n">
        <f aca="false">Equations!F95</f>
        <v>27.75</v>
      </c>
      <c r="F100" s="157" t="n">
        <f aca="false">Equations!G95</f>
        <v>28.416</v>
      </c>
      <c r="G100" s="151" t="s">
        <v>39</v>
      </c>
      <c r="H100" s="88"/>
      <c r="I100" s="88"/>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c r="AK100" s="88"/>
      <c r="AL100" s="88"/>
      <c r="AM100" s="92"/>
    </row>
    <row r="101" customFormat="false" ht="15" hidden="false" customHeight="true" outlineLevel="0" collapsed="false">
      <c r="A101" s="32"/>
      <c r="B101" s="93"/>
      <c r="C101" s="126"/>
      <c r="D101" s="158"/>
      <c r="E101" s="158"/>
      <c r="F101" s="158"/>
      <c r="G101" s="159"/>
      <c r="H101" s="88"/>
      <c r="I101" s="88"/>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c r="AK101" s="88"/>
      <c r="AL101" s="88"/>
      <c r="AM101" s="92"/>
    </row>
    <row r="102" customFormat="false" ht="15" hidden="false" customHeight="true" outlineLevel="0" collapsed="false">
      <c r="A102" s="32"/>
      <c r="B102" s="93"/>
      <c r="C102" s="126"/>
      <c r="D102" s="158"/>
      <c r="E102" s="158"/>
      <c r="F102" s="158"/>
      <c r="G102" s="159"/>
      <c r="H102" s="88"/>
      <c r="I102" s="88"/>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c r="AK102" s="88"/>
      <c r="AL102" s="88"/>
      <c r="AM102" s="92"/>
    </row>
    <row r="103" customFormat="false" ht="15" hidden="false" customHeight="true" outlineLevel="0" collapsed="false">
      <c r="A103" s="32"/>
      <c r="B103" s="93"/>
      <c r="C103" s="88"/>
      <c r="D103" s="88"/>
      <c r="E103" s="88"/>
      <c r="F103" s="88"/>
      <c r="G103" s="88"/>
      <c r="H103" s="160"/>
      <c r="I103" s="88"/>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c r="AK103" s="88"/>
      <c r="AL103" s="88"/>
      <c r="AM103" s="92"/>
    </row>
    <row r="104" customFormat="false" ht="18.75" hidden="false" customHeight="true" outlineLevel="0" collapsed="false">
      <c r="A104" s="32"/>
      <c r="B104" s="81" t="s">
        <v>138</v>
      </c>
      <c r="C104" s="82"/>
      <c r="D104" s="82"/>
      <c r="E104" s="161" t="s">
        <v>139</v>
      </c>
      <c r="F104" s="162" t="n">
        <f aca="false">Rs</f>
        <v>0.5</v>
      </c>
      <c r="G104" s="163" t="s">
        <v>51</v>
      </c>
      <c r="H104" s="82"/>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c r="AF104" s="82"/>
      <c r="AG104" s="82"/>
      <c r="AH104" s="82"/>
      <c r="AI104" s="82"/>
      <c r="AJ104" s="82"/>
      <c r="AK104" s="82"/>
      <c r="AL104" s="82"/>
      <c r="AM104" s="86"/>
    </row>
    <row r="105" customFormat="false" ht="15" hidden="false" customHeight="true" outlineLevel="0" collapsed="false">
      <c r="A105" s="32"/>
      <c r="B105" s="87"/>
      <c r="C105" s="88"/>
      <c r="D105" s="88"/>
      <c r="E105" s="164" t="s">
        <v>140</v>
      </c>
      <c r="F105" s="165" t="str">
        <f aca="false">IF(F39="No","DNP",RDIV1)</f>
        <v>DNP</v>
      </c>
      <c r="G105" s="166" t="s">
        <v>56</v>
      </c>
      <c r="H105" s="88"/>
      <c r="I105" s="88"/>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c r="AK105" s="88"/>
      <c r="AL105" s="88"/>
      <c r="AM105" s="92"/>
    </row>
    <row r="106" customFormat="false" ht="14.25" hidden="false" customHeight="true" outlineLevel="0" collapsed="false">
      <c r="A106" s="32"/>
      <c r="B106" s="87"/>
      <c r="C106" s="88"/>
      <c r="D106" s="88"/>
      <c r="E106" s="164" t="s">
        <v>141</v>
      </c>
      <c r="F106" s="165" t="str">
        <f aca="false">IF(F39="No","short",RDIV2)</f>
        <v>short</v>
      </c>
      <c r="G106" s="166" t="s">
        <v>56</v>
      </c>
      <c r="H106" s="88"/>
      <c r="I106" s="88"/>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c r="AK106" s="88"/>
      <c r="AL106" s="88"/>
      <c r="AM106" s="92"/>
    </row>
    <row r="107" customFormat="false" ht="15" hidden="false" customHeight="true" outlineLevel="0" collapsed="false">
      <c r="A107" s="32"/>
      <c r="B107" s="93"/>
      <c r="C107" s="88"/>
      <c r="D107" s="88"/>
      <c r="E107" s="167" t="s">
        <v>142</v>
      </c>
      <c r="F107" s="168" t="n">
        <f aca="false">F96</f>
        <v>212</v>
      </c>
      <c r="G107" s="159" t="s">
        <v>88</v>
      </c>
      <c r="H107" s="88"/>
      <c r="I107" s="169"/>
      <c r="J107" s="170"/>
      <c r="K107" s="171" t="s">
        <v>134</v>
      </c>
      <c r="L107" s="172" t="s">
        <v>143</v>
      </c>
      <c r="M107" s="156"/>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92"/>
    </row>
    <row r="108" customFormat="false" ht="15" hidden="false" customHeight="true" outlineLevel="0" collapsed="false">
      <c r="A108" s="32"/>
      <c r="B108" s="93"/>
      <c r="C108" s="88"/>
      <c r="D108" s="88"/>
      <c r="E108" s="167" t="s">
        <v>144</v>
      </c>
      <c r="F108" s="168" t="n">
        <f aca="false">F94</f>
        <v>10</v>
      </c>
      <c r="G108" s="159" t="s">
        <v>88</v>
      </c>
      <c r="H108" s="88"/>
      <c r="I108" s="174"/>
      <c r="J108" s="175" t="s">
        <v>145</v>
      </c>
      <c r="K108" s="176" t="n">
        <f aca="false">F47</f>
        <v>100</v>
      </c>
      <c r="L108" s="177" t="s">
        <v>43</v>
      </c>
      <c r="M108" s="17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c r="AK108" s="88"/>
      <c r="AL108" s="88"/>
      <c r="AM108" s="92"/>
    </row>
    <row r="109" customFormat="false" ht="15" hidden="false" customHeight="true" outlineLevel="0" collapsed="false">
      <c r="A109" s="32"/>
      <c r="B109" s="93"/>
      <c r="C109" s="88"/>
      <c r="D109" s="88"/>
      <c r="E109" s="167" t="s">
        <v>146</v>
      </c>
      <c r="F109" s="116" t="n">
        <f aca="false">F64</f>
        <v>47</v>
      </c>
      <c r="G109" s="159" t="s">
        <v>88</v>
      </c>
      <c r="H109" s="88"/>
      <c r="I109" s="174"/>
      <c r="J109" s="175" t="s">
        <v>147</v>
      </c>
      <c r="K109" s="179" t="n">
        <f aca="false">F67</f>
        <v>505.576208178439</v>
      </c>
      <c r="L109" s="177" t="s">
        <v>56</v>
      </c>
      <c r="M109" s="180"/>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c r="AK109" s="88"/>
      <c r="AL109" s="88"/>
      <c r="AM109" s="92"/>
    </row>
    <row r="110" customFormat="false" ht="15" hidden="false" customHeight="true" outlineLevel="0" collapsed="false">
      <c r="A110" s="32"/>
      <c r="B110" s="93"/>
      <c r="C110" s="88"/>
      <c r="D110" s="88"/>
      <c r="E110" s="167" t="s">
        <v>148</v>
      </c>
      <c r="F110" s="181" t="n">
        <f aca="false">RPWR</f>
        <v>6.8</v>
      </c>
      <c r="G110" s="159" t="s">
        <v>88</v>
      </c>
      <c r="H110" s="88"/>
      <c r="I110" s="174"/>
      <c r="J110" s="175" t="s">
        <v>149</v>
      </c>
      <c r="K110" s="182" t="n">
        <f aca="false">IF(F71="YES", F90,F77)</f>
        <v>1.6</v>
      </c>
      <c r="L110" s="177" t="s">
        <v>101</v>
      </c>
      <c r="M110" s="17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c r="AK110" s="88"/>
      <c r="AL110" s="88"/>
      <c r="AM110" s="92"/>
    </row>
    <row r="111" customFormat="false" ht="15" hidden="false" customHeight="true" outlineLevel="0" collapsed="false">
      <c r="A111" s="32"/>
      <c r="B111" s="93"/>
      <c r="C111" s="88"/>
      <c r="D111" s="88"/>
      <c r="E111" s="167" t="s">
        <v>150</v>
      </c>
      <c r="F111" s="133" t="n">
        <f aca="false">IF(F71="YES", F89, F76)</f>
        <v>10</v>
      </c>
      <c r="G111" s="159" t="s">
        <v>105</v>
      </c>
      <c r="H111" s="88"/>
      <c r="I111" s="174"/>
      <c r="J111" s="183" t="s">
        <v>151</v>
      </c>
      <c r="K111" s="176" t="n">
        <f aca="false">E99</f>
        <v>29.97</v>
      </c>
      <c r="L111" s="177" t="s">
        <v>39</v>
      </c>
      <c r="M111" s="184"/>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c r="AK111" s="88"/>
      <c r="AL111" s="88"/>
      <c r="AM111" s="92"/>
    </row>
    <row r="112" customFormat="false" ht="15" hidden="false" customHeight="true" outlineLevel="0" collapsed="false">
      <c r="A112" s="32"/>
      <c r="B112" s="93"/>
      <c r="C112" s="88"/>
      <c r="D112" s="88"/>
      <c r="E112" s="167" t="s">
        <v>152</v>
      </c>
      <c r="F112" s="185" t="n">
        <v>0.1</v>
      </c>
      <c r="G112" s="159" t="s">
        <v>45</v>
      </c>
      <c r="H112" s="88"/>
      <c r="I112" s="174"/>
      <c r="J112" s="183" t="s">
        <v>153</v>
      </c>
      <c r="K112" s="176" t="n">
        <f aca="false">E100</f>
        <v>27.75</v>
      </c>
      <c r="L112" s="177" t="s">
        <v>39</v>
      </c>
      <c r="M112" s="17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c r="AK112" s="88"/>
      <c r="AL112" s="88"/>
      <c r="AM112" s="92"/>
    </row>
    <row r="113" customFormat="false" ht="15" hidden="false" customHeight="true" outlineLevel="0" collapsed="false">
      <c r="A113" s="32"/>
      <c r="B113" s="93"/>
      <c r="C113" s="88"/>
      <c r="D113" s="88"/>
      <c r="E113" s="186" t="s">
        <v>154</v>
      </c>
      <c r="F113" s="187" t="str">
        <f aca="false">F50</f>
        <v>PSMN3R7-100BSE</v>
      </c>
      <c r="G113" s="159"/>
      <c r="H113" s="88"/>
      <c r="M113" s="1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c r="AK113" s="88"/>
      <c r="AL113" s="88"/>
      <c r="AM113" s="92"/>
    </row>
    <row r="114" customFormat="false" ht="15" hidden="false" customHeight="true" outlineLevel="0" collapsed="false">
      <c r="A114" s="32"/>
      <c r="B114" s="93"/>
      <c r="C114" s="88"/>
      <c r="D114" s="88"/>
      <c r="E114" s="164" t="s">
        <v>155</v>
      </c>
      <c r="F114" s="168" t="n">
        <f aca="false">IF(F71="YES", 1, "DNP" )</f>
        <v>1</v>
      </c>
      <c r="G114" s="159" t="s">
        <v>88</v>
      </c>
      <c r="H114" s="88"/>
      <c r="I114" s="88"/>
      <c r="J114" s="88"/>
      <c r="K114" s="88"/>
      <c r="L114" s="88"/>
      <c r="M114" s="1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c r="AK114" s="88"/>
      <c r="AL114" s="88"/>
      <c r="AM114" s="92"/>
    </row>
    <row r="115" customFormat="false" ht="15" hidden="false" customHeight="true" outlineLevel="0" collapsed="false">
      <c r="A115" s="32"/>
      <c r="B115" s="93"/>
      <c r="C115" s="88"/>
      <c r="D115" s="88"/>
      <c r="E115" s="164" t="s">
        <v>156</v>
      </c>
      <c r="F115" s="189" t="n">
        <f aca="false">IF(F71="YES", F84, "DNP" )</f>
        <v>27</v>
      </c>
      <c r="G115" s="159" t="s">
        <v>105</v>
      </c>
      <c r="H115" s="88"/>
      <c r="I115" s="88"/>
      <c r="J115" s="88"/>
      <c r="K115" s="88"/>
      <c r="L115" s="88"/>
      <c r="M115" s="1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c r="AK115" s="88"/>
      <c r="AL115" s="88"/>
      <c r="AM115" s="92"/>
    </row>
    <row r="116" customFormat="false" ht="15" hidden="false" customHeight="true" outlineLevel="0" collapsed="false">
      <c r="A116" s="32"/>
      <c r="B116" s="93"/>
      <c r="C116" s="88"/>
      <c r="D116" s="88"/>
      <c r="H116" s="88"/>
      <c r="I116" s="88"/>
      <c r="J116" s="88"/>
      <c r="K116" s="88"/>
      <c r="L116" s="88"/>
      <c r="M116" s="1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c r="AK116" s="88"/>
      <c r="AL116" s="88"/>
      <c r="AM116" s="92"/>
    </row>
    <row r="117" customFormat="false" ht="15" hidden="false" customHeight="true" outlineLevel="0" collapsed="false">
      <c r="A117" s="32"/>
      <c r="B117" s="93"/>
      <c r="C117" s="88"/>
      <c r="D117" s="88"/>
      <c r="E117" s="89"/>
      <c r="F117" s="190"/>
      <c r="G117" s="159"/>
      <c r="H117" s="88"/>
      <c r="I117" s="88"/>
      <c r="J117" s="88"/>
      <c r="K117" s="88"/>
      <c r="L117" s="88"/>
      <c r="M117" s="1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c r="AK117" s="88"/>
      <c r="AL117" s="88"/>
      <c r="AM117" s="92"/>
    </row>
    <row r="118" customFormat="false" ht="15" hidden="false" customHeight="true" outlineLevel="0" collapsed="false">
      <c r="A118" s="32"/>
      <c r="B118" s="93"/>
      <c r="C118" s="88"/>
      <c r="D118" s="88"/>
      <c r="E118" s="89"/>
      <c r="F118" s="190"/>
      <c r="G118" s="159"/>
      <c r="H118" s="88"/>
      <c r="I118" s="88"/>
      <c r="J118" s="88"/>
      <c r="K118" s="88"/>
      <c r="L118" s="88"/>
      <c r="M118" s="1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c r="AK118" s="88"/>
      <c r="AL118" s="88"/>
      <c r="AM118" s="92"/>
    </row>
    <row r="119" customFormat="false" ht="15" hidden="false" customHeight="true" outlineLevel="0" collapsed="false">
      <c r="A119" s="32"/>
      <c r="B119" s="93"/>
      <c r="C119" s="88"/>
      <c r="D119" s="88"/>
      <c r="E119" s="89"/>
      <c r="F119" s="190"/>
      <c r="G119" s="159"/>
      <c r="H119" s="88"/>
      <c r="I119" s="88"/>
      <c r="J119" s="88"/>
      <c r="K119" s="88"/>
      <c r="L119" s="88"/>
      <c r="M119" s="43"/>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c r="AK119" s="88"/>
      <c r="AL119" s="88"/>
      <c r="AM119" s="92"/>
    </row>
    <row r="120" customFormat="false" ht="15" hidden="false" customHeight="true" outlineLevel="0" collapsed="false">
      <c r="A120" s="32"/>
      <c r="B120" s="93"/>
      <c r="C120" s="88"/>
      <c r="D120" s="88"/>
      <c r="E120" s="89"/>
      <c r="F120" s="190"/>
      <c r="G120" s="159"/>
      <c r="H120" s="88"/>
      <c r="I120" s="88"/>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c r="AK120" s="88"/>
      <c r="AL120" s="88"/>
      <c r="AM120" s="92"/>
      <c r="AN120" s="36"/>
    </row>
    <row r="121" customFormat="false" ht="15" hidden="false" customHeight="false" outlineLevel="0" collapsed="false">
      <c r="A121" s="32"/>
      <c r="B121" s="191" t="s">
        <v>157</v>
      </c>
      <c r="C121" s="192" t="s">
        <v>158</v>
      </c>
      <c r="D121" s="193"/>
      <c r="E121" s="192"/>
      <c r="F121" s="194"/>
      <c r="G121" s="159"/>
      <c r="H121" s="88"/>
      <c r="I121" s="88"/>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c r="AK121" s="88"/>
      <c r="AL121" s="88"/>
      <c r="AM121" s="92"/>
      <c r="AN121" s="36"/>
    </row>
    <row r="122" customFormat="false" ht="12.75" hidden="false" customHeight="false" outlineLevel="0" collapsed="false">
      <c r="A122" s="32"/>
      <c r="B122" s="93"/>
      <c r="C122" s="192" t="s">
        <v>159</v>
      </c>
      <c r="D122" s="88"/>
      <c r="E122" s="192"/>
      <c r="F122" s="88"/>
      <c r="G122" s="159"/>
      <c r="H122" s="88"/>
      <c r="I122" s="88"/>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c r="AK122" s="88"/>
      <c r="AL122" s="88"/>
      <c r="AM122" s="92"/>
    </row>
    <row r="123" customFormat="false" ht="12.75" hidden="false" customHeight="false" outlineLevel="0" collapsed="false">
      <c r="A123" s="32"/>
      <c r="B123" s="93"/>
      <c r="C123" s="192" t="s">
        <v>160</v>
      </c>
      <c r="D123" s="88"/>
      <c r="E123" s="192"/>
      <c r="F123" s="88"/>
      <c r="G123" s="159"/>
      <c r="H123" s="88"/>
      <c r="I123" s="88"/>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c r="AK123" s="88"/>
      <c r="AL123" s="88"/>
      <c r="AM123" s="92"/>
    </row>
    <row r="124" customFormat="false" ht="13.15" hidden="false" customHeight="false" outlineLevel="0" collapsed="false">
      <c r="A124" s="32"/>
      <c r="B124" s="99"/>
      <c r="C124" s="100"/>
      <c r="D124" s="100"/>
      <c r="E124" s="195"/>
      <c r="F124" s="100"/>
      <c r="G124" s="196"/>
      <c r="H124" s="100"/>
      <c r="I124" s="100"/>
      <c r="J124" s="100"/>
      <c r="K124" s="100"/>
      <c r="L124" s="100"/>
      <c r="M124" s="100"/>
      <c r="N124" s="100"/>
      <c r="O124" s="100"/>
      <c r="P124" s="100"/>
      <c r="Q124" s="100"/>
      <c r="R124" s="100"/>
      <c r="S124" s="100"/>
      <c r="T124" s="100"/>
      <c r="U124" s="100"/>
      <c r="V124" s="100"/>
      <c r="W124" s="100"/>
      <c r="X124" s="100"/>
      <c r="Y124" s="100"/>
      <c r="Z124" s="100"/>
      <c r="AA124" s="100"/>
      <c r="AB124" s="100"/>
      <c r="AC124" s="100"/>
      <c r="AD124" s="100"/>
      <c r="AE124" s="100"/>
      <c r="AF124" s="100"/>
      <c r="AG124" s="100"/>
      <c r="AH124" s="100"/>
      <c r="AI124" s="100"/>
      <c r="AJ124" s="100"/>
      <c r="AK124" s="100"/>
      <c r="AL124" s="100"/>
      <c r="AM124" s="104"/>
    </row>
    <row r="125" customFormat="false" ht="12.75" hidden="false" customHeight="false" outlineLevel="0" collapsed="false">
      <c r="A125" s="32"/>
      <c r="B125" s="32"/>
      <c r="C125" s="32"/>
      <c r="D125" s="32"/>
      <c r="E125" s="32"/>
      <c r="F125" s="32"/>
      <c r="G125" s="34"/>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row>
    <row r="126" customFormat="false" ht="13.9" hidden="false" customHeight="false" outlineLevel="0" collapsed="false">
      <c r="A126" s="32"/>
      <c r="B126" s="197"/>
      <c r="C126" s="32"/>
      <c r="D126" s="32"/>
      <c r="E126" s="32"/>
      <c r="F126" s="32"/>
      <c r="G126" s="43"/>
      <c r="H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row>
    <row r="127" customFormat="false" ht="12.75" hidden="false" customHeight="false" outlineLevel="0" collapsed="false">
      <c r="A127" s="32"/>
      <c r="B127" s="32"/>
      <c r="C127" s="32"/>
      <c r="D127" s="32"/>
      <c r="E127" s="32"/>
      <c r="F127" s="32"/>
      <c r="G127" s="43"/>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row>
    <row r="128" customFormat="false" ht="12.75" hidden="false" customHeight="false" outlineLevel="0" collapsed="false">
      <c r="A128" s="32"/>
      <c r="B128" s="32"/>
      <c r="C128" s="32"/>
      <c r="D128" s="32"/>
      <c r="E128" s="32"/>
      <c r="F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row>
    <row r="129" customFormat="false" ht="12.75" hidden="false" customHeight="false" outlineLevel="0" collapsed="false">
      <c r="A129" s="32"/>
      <c r="B129" s="32"/>
      <c r="C129" s="32"/>
      <c r="D129" s="32"/>
      <c r="E129" s="32"/>
      <c r="F129" s="32"/>
      <c r="G129" s="34"/>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row>
    <row r="130" customFormat="false" ht="12.75" hidden="false" customHeight="false" outlineLevel="0" collapsed="false">
      <c r="A130" s="32"/>
      <c r="B130" s="32"/>
      <c r="C130" s="32"/>
      <c r="D130" s="32"/>
      <c r="E130" s="32"/>
      <c r="F130" s="32"/>
      <c r="G130" s="34"/>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row>
    <row r="131" customFormat="false" ht="12.75" hidden="false" customHeight="false" outlineLevel="0" collapsed="false">
      <c r="A131" s="32"/>
      <c r="B131" s="32"/>
      <c r="C131" s="32"/>
      <c r="D131" s="32"/>
      <c r="E131" s="32"/>
      <c r="F131" s="32"/>
      <c r="G131" s="34"/>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row>
    <row r="132" customFormat="false" ht="12.75" hidden="false" customHeight="false" outlineLevel="0" collapsed="false">
      <c r="A132" s="32"/>
      <c r="B132" s="32"/>
      <c r="C132" s="32"/>
      <c r="D132" s="32"/>
      <c r="E132" s="32"/>
      <c r="F132" s="32"/>
      <c r="G132" s="34"/>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row>
    <row r="133" customFormat="false" ht="12.75" hidden="false" customHeight="false" outlineLevel="0" collapsed="false">
      <c r="A133" s="32"/>
      <c r="B133" s="32"/>
      <c r="C133" s="32"/>
      <c r="D133" s="32"/>
      <c r="E133" s="32"/>
      <c r="F133" s="32"/>
      <c r="G133" s="34"/>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row>
    <row r="134" customFormat="false" ht="12.75" hidden="false" customHeight="false" outlineLevel="0" collapsed="false">
      <c r="A134" s="32"/>
      <c r="B134" s="32"/>
      <c r="C134" s="32"/>
      <c r="D134" s="32"/>
      <c r="E134" s="32"/>
      <c r="F134" s="32"/>
      <c r="G134" s="34"/>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row>
    <row r="135" customFormat="false" ht="12.75" hidden="false" customHeight="false" outlineLevel="0" collapsed="false">
      <c r="A135" s="32"/>
      <c r="B135" s="32"/>
      <c r="C135" s="32"/>
      <c r="D135" s="32"/>
      <c r="E135" s="32"/>
      <c r="F135" s="32"/>
      <c r="G135" s="34"/>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row>
    <row r="136" customFormat="false" ht="12.75" hidden="false" customHeight="false" outlineLevel="0" collapsed="false">
      <c r="A136" s="32"/>
      <c r="B136" s="32"/>
      <c r="C136" s="32"/>
      <c r="D136" s="32"/>
      <c r="E136" s="32"/>
      <c r="F136" s="32"/>
      <c r="G136" s="34"/>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row>
    <row r="137" customFormat="false" ht="12.75" hidden="false" customHeight="false" outlineLevel="0" collapsed="false">
      <c r="A137" s="32"/>
      <c r="B137" s="32"/>
      <c r="C137" s="32"/>
      <c r="D137" s="32"/>
      <c r="E137" s="32"/>
      <c r="F137" s="32"/>
      <c r="G137" s="34"/>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row>
    <row r="138" customFormat="false" ht="12.75" hidden="false" customHeight="false" outlineLevel="0" collapsed="false">
      <c r="A138" s="32"/>
      <c r="B138" s="32"/>
      <c r="C138" s="32"/>
      <c r="D138" s="32"/>
      <c r="E138" s="32"/>
      <c r="F138" s="32"/>
      <c r="G138" s="34"/>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row>
    <row r="139" customFormat="false" ht="12.75" hidden="false" customHeight="false" outlineLevel="0" collapsed="false">
      <c r="A139" s="32"/>
      <c r="B139" s="32"/>
      <c r="C139" s="32"/>
      <c r="D139" s="32"/>
      <c r="E139" s="32"/>
      <c r="F139" s="32"/>
      <c r="G139" s="34"/>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row>
    <row r="140" customFormat="false" ht="12.75" hidden="false" customHeight="false" outlineLevel="0" collapsed="false">
      <c r="A140" s="32"/>
      <c r="B140" s="32"/>
      <c r="C140" s="32"/>
      <c r="D140" s="32"/>
      <c r="E140" s="32"/>
      <c r="F140" s="32"/>
      <c r="G140" s="34"/>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row>
    <row r="141" customFormat="false" ht="12.75" hidden="false" customHeight="false" outlineLevel="0" collapsed="false">
      <c r="A141" s="32"/>
      <c r="B141" s="32"/>
      <c r="C141" s="32"/>
      <c r="D141" s="32"/>
      <c r="E141" s="32"/>
      <c r="F141" s="32"/>
      <c r="G141" s="34"/>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row>
    <row r="142" customFormat="false" ht="12.75" hidden="false" customHeight="false" outlineLevel="0" collapsed="false">
      <c r="A142" s="32"/>
      <c r="B142" s="32"/>
      <c r="C142" s="32"/>
      <c r="D142" s="32"/>
      <c r="E142" s="32"/>
      <c r="F142" s="32"/>
      <c r="G142" s="34"/>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row>
    <row r="143" customFormat="false" ht="12.75" hidden="false" customHeight="false" outlineLevel="0" collapsed="false">
      <c r="A143" s="32"/>
      <c r="B143" s="32"/>
      <c r="C143" s="32"/>
      <c r="D143" s="32"/>
      <c r="E143" s="32"/>
      <c r="F143" s="32"/>
      <c r="G143" s="34"/>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row>
    <row r="144" customFormat="false" ht="12.75" hidden="false" customHeight="false" outlineLevel="0" collapsed="false">
      <c r="A144" s="32"/>
      <c r="B144" s="32"/>
      <c r="C144" s="32"/>
      <c r="D144" s="32"/>
      <c r="E144" s="32"/>
      <c r="F144" s="32"/>
      <c r="G144" s="34"/>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row>
    <row r="145" customFormat="false" ht="12.75" hidden="false" customHeight="false" outlineLevel="0" collapsed="false">
      <c r="A145" s="32"/>
      <c r="B145" s="32"/>
      <c r="C145" s="32"/>
      <c r="D145" s="32"/>
      <c r="E145" s="32"/>
      <c r="F145" s="32"/>
      <c r="G145" s="34"/>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row>
    <row r="146" customFormat="false" ht="12.75" hidden="false" customHeight="false" outlineLevel="0" collapsed="false">
      <c r="A146" s="32"/>
      <c r="B146" s="32"/>
      <c r="C146" s="32"/>
      <c r="D146" s="32"/>
      <c r="E146" s="32"/>
      <c r="F146" s="32"/>
      <c r="G146" s="34"/>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row>
    <row r="147" customFormat="false" ht="12.75" hidden="false" customHeight="false" outlineLevel="0" collapsed="false">
      <c r="A147" s="32"/>
      <c r="B147" s="32"/>
      <c r="C147" s="32"/>
      <c r="D147" s="32"/>
      <c r="E147" s="32"/>
      <c r="F147" s="32"/>
      <c r="G147" s="34"/>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row>
    <row r="148" customFormat="false" ht="12.75" hidden="false" customHeight="false" outlineLevel="0" collapsed="false">
      <c r="A148" s="32"/>
      <c r="B148" s="32"/>
      <c r="C148" s="32"/>
      <c r="D148" s="32"/>
      <c r="E148" s="32"/>
      <c r="F148" s="32"/>
      <c r="G148" s="34"/>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row>
    <row r="149" customFormat="false" ht="12.75" hidden="false" customHeight="false" outlineLevel="0" collapsed="false">
      <c r="A149" s="32"/>
      <c r="B149" s="32"/>
      <c r="C149" s="32"/>
      <c r="D149" s="32"/>
      <c r="E149" s="32"/>
      <c r="F149" s="32"/>
      <c r="G149" s="34"/>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row>
    <row r="150" customFormat="false" ht="12.75" hidden="false" customHeight="false" outlineLevel="0" collapsed="false">
      <c r="A150" s="32"/>
      <c r="B150" s="32"/>
      <c r="C150" s="32"/>
      <c r="D150" s="32"/>
      <c r="E150" s="32"/>
      <c r="F150" s="32"/>
      <c r="G150" s="34"/>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row>
    <row r="151" customFormat="false" ht="12.75" hidden="false" customHeight="false" outlineLevel="0" collapsed="false">
      <c r="A151" s="32"/>
      <c r="B151" s="32"/>
      <c r="C151" s="32"/>
      <c r="D151" s="32"/>
      <c r="E151" s="32"/>
      <c r="F151" s="32"/>
      <c r="G151" s="34"/>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row>
    <row r="152" customFormat="false" ht="13.9" hidden="false" customHeight="false" outlineLevel="0" collapsed="false">
      <c r="A152" s="32"/>
      <c r="B152" s="198"/>
      <c r="C152" s="32"/>
      <c r="D152" s="32"/>
      <c r="E152" s="32"/>
      <c r="F152" s="32"/>
      <c r="G152" s="34"/>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row>
    <row r="153" customFormat="false" ht="12.75" hidden="false" customHeight="false" outlineLevel="0" collapsed="false">
      <c r="A153" s="32"/>
      <c r="B153" s="32"/>
      <c r="C153" s="32"/>
      <c r="D153" s="32"/>
      <c r="E153" s="32"/>
      <c r="F153" s="32"/>
      <c r="G153" s="34"/>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row>
    <row r="154" customFormat="false" ht="12.75" hidden="false" customHeight="false" outlineLevel="0" collapsed="false">
      <c r="A154" s="32"/>
      <c r="B154" s="32"/>
      <c r="C154" s="32"/>
      <c r="D154" s="32"/>
      <c r="E154" s="32"/>
      <c r="F154" s="32"/>
      <c r="G154" s="34"/>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row>
    <row r="155" customFormat="false" ht="12.75" hidden="false" customHeight="false" outlineLevel="0" collapsed="false">
      <c r="A155" s="32"/>
      <c r="B155" s="32"/>
      <c r="C155" s="32"/>
      <c r="D155" s="32"/>
      <c r="E155" s="32"/>
      <c r="F155" s="32"/>
      <c r="G155" s="34"/>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row>
    <row r="156" customFormat="false" ht="12.75" hidden="false" customHeight="false" outlineLevel="0" collapsed="false">
      <c r="A156" s="32"/>
      <c r="B156" s="32"/>
      <c r="C156" s="32"/>
      <c r="D156" s="32"/>
      <c r="E156" s="32"/>
      <c r="F156" s="32"/>
      <c r="G156" s="34"/>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row>
    <row r="157" customFormat="false" ht="12.75" hidden="false" customHeight="false" outlineLevel="0" collapsed="false">
      <c r="A157" s="32"/>
      <c r="B157" s="32"/>
      <c r="D157" s="32"/>
      <c r="E157" s="32"/>
      <c r="F157" s="32"/>
      <c r="G157" s="34"/>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row>
    <row r="158" customFormat="false" ht="12.75" hidden="false" customHeight="false" outlineLevel="0" collapsed="false">
      <c r="A158" s="32"/>
      <c r="B158" s="32"/>
      <c r="C158" s="32"/>
      <c r="D158" s="32"/>
      <c r="E158" s="32"/>
      <c r="F158" s="32"/>
      <c r="G158" s="34"/>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row>
    <row r="159" customFormat="false" ht="12.75" hidden="false" customHeight="false" outlineLevel="0" collapsed="false">
      <c r="A159" s="32"/>
      <c r="B159" s="32"/>
      <c r="C159" s="32"/>
      <c r="D159" s="32"/>
      <c r="E159" s="32"/>
      <c r="F159" s="32"/>
      <c r="G159" s="34"/>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row>
    <row r="160" customFormat="false" ht="12.75" hidden="false" customHeight="false" outlineLevel="0" collapsed="false">
      <c r="A160" s="32"/>
      <c r="B160" s="32"/>
      <c r="C160" s="32"/>
      <c r="D160" s="32"/>
      <c r="E160" s="32"/>
      <c r="F160" s="32"/>
      <c r="G160" s="34"/>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row>
    <row r="161" customFormat="false" ht="12.75" hidden="false" customHeight="false" outlineLevel="0" collapsed="false">
      <c r="A161" s="32"/>
      <c r="B161" s="32"/>
      <c r="C161" s="32"/>
      <c r="D161" s="32"/>
      <c r="E161" s="32"/>
      <c r="F161" s="32"/>
      <c r="G161" s="34"/>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row>
    <row r="162" customFormat="false" ht="12.75" hidden="false" customHeight="false" outlineLevel="0" collapsed="false">
      <c r="A162" s="32"/>
      <c r="B162" s="32"/>
      <c r="C162" s="32"/>
      <c r="D162" s="32"/>
      <c r="E162" s="32"/>
      <c r="F162" s="32"/>
      <c r="G162" s="34"/>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row>
    <row r="163" customFormat="false" ht="12.75" hidden="false" customHeight="false" outlineLevel="0" collapsed="false">
      <c r="A163" s="32"/>
      <c r="B163" s="32"/>
      <c r="C163" s="32"/>
      <c r="D163" s="32"/>
      <c r="E163" s="32"/>
      <c r="F163" s="32"/>
      <c r="G163" s="34"/>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row>
    <row r="164" customFormat="false" ht="12.75" hidden="false" customHeight="false" outlineLevel="0" collapsed="false">
      <c r="A164" s="32"/>
      <c r="B164" s="32"/>
      <c r="C164" s="32"/>
      <c r="D164" s="32"/>
      <c r="E164" s="32"/>
      <c r="F164" s="32"/>
      <c r="G164" s="34"/>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row>
    <row r="165" customFormat="false" ht="12.75" hidden="false" customHeight="false" outlineLevel="0" collapsed="false">
      <c r="A165" s="32"/>
      <c r="B165" s="32"/>
      <c r="C165" s="32"/>
      <c r="D165" s="32"/>
      <c r="E165" s="32"/>
      <c r="F165" s="32"/>
      <c r="G165" s="34"/>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row>
    <row r="166" customFormat="false" ht="12.75" hidden="false" customHeight="false" outlineLevel="0" collapsed="false">
      <c r="A166" s="32"/>
      <c r="B166" s="32"/>
      <c r="C166" s="32"/>
      <c r="D166" s="32"/>
      <c r="E166" s="32"/>
      <c r="F166" s="32"/>
      <c r="G166" s="34"/>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row>
    <row r="167" customFormat="false" ht="12.75" hidden="false" customHeight="false" outlineLevel="0" collapsed="false">
      <c r="A167" s="32"/>
      <c r="B167" s="32"/>
      <c r="C167" s="32"/>
      <c r="D167" s="32"/>
      <c r="E167" s="32"/>
      <c r="F167" s="32"/>
      <c r="G167" s="34"/>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row>
    <row r="168" customFormat="false" ht="12.75" hidden="false" customHeight="false" outlineLevel="0" collapsed="false">
      <c r="A168" s="32"/>
      <c r="B168" s="32"/>
      <c r="C168" s="32"/>
      <c r="D168" s="32"/>
      <c r="E168" s="32"/>
      <c r="F168" s="32"/>
      <c r="G168" s="34"/>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row>
    <row r="169" customFormat="false" ht="12.75" hidden="false" customHeight="false" outlineLevel="0" collapsed="false">
      <c r="A169" s="32"/>
      <c r="B169" s="32"/>
      <c r="C169" s="32"/>
      <c r="D169" s="32"/>
      <c r="E169" s="32"/>
      <c r="F169" s="32"/>
      <c r="G169" s="34"/>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row>
    <row r="170" customFormat="false" ht="12.75" hidden="false" customHeight="false" outlineLevel="0" collapsed="false">
      <c r="A170" s="32"/>
      <c r="B170" s="32"/>
      <c r="C170" s="32"/>
      <c r="D170" s="32"/>
      <c r="E170" s="32"/>
      <c r="F170" s="32"/>
      <c r="G170" s="34"/>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row>
    <row r="171" customFormat="false" ht="12.75" hidden="false" customHeight="false" outlineLevel="0" collapsed="false">
      <c r="A171" s="32"/>
      <c r="B171" s="32"/>
      <c r="C171" s="32"/>
      <c r="D171" s="32"/>
      <c r="E171" s="32"/>
      <c r="F171" s="32"/>
      <c r="G171" s="34"/>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row>
    <row r="172" customFormat="false" ht="12.75" hidden="false" customHeight="false" outlineLevel="0" collapsed="false">
      <c r="A172" s="32"/>
      <c r="B172" s="32"/>
      <c r="C172" s="32"/>
      <c r="D172" s="32"/>
      <c r="E172" s="32"/>
      <c r="F172" s="32"/>
      <c r="G172" s="34"/>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row>
    <row r="173" customFormat="false" ht="12.75" hidden="false" customHeight="false" outlineLevel="0" collapsed="false">
      <c r="A173" s="32"/>
      <c r="B173" s="32"/>
      <c r="C173" s="32"/>
      <c r="D173" s="32"/>
      <c r="E173" s="32"/>
      <c r="F173" s="32"/>
      <c r="G173" s="34"/>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row>
    <row r="174" customFormat="false" ht="12.75" hidden="false" customHeight="false" outlineLevel="0" collapsed="false">
      <c r="A174" s="32"/>
      <c r="B174" s="32"/>
      <c r="C174" s="32"/>
      <c r="D174" s="32"/>
      <c r="E174" s="32"/>
      <c r="F174" s="32"/>
      <c r="G174" s="34"/>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row>
    <row r="175" customFormat="false" ht="12.75" hidden="false" customHeight="false" outlineLevel="0" collapsed="false">
      <c r="A175" s="32"/>
      <c r="B175" s="32"/>
      <c r="C175" s="32"/>
      <c r="D175" s="32"/>
      <c r="E175" s="32"/>
      <c r="F175" s="32"/>
      <c r="G175" s="34"/>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row>
    <row r="176" customFormat="false" ht="12.75" hidden="false" customHeight="false" outlineLevel="0" collapsed="false">
      <c r="A176" s="32"/>
      <c r="B176" s="32"/>
      <c r="C176" s="32"/>
      <c r="D176" s="32"/>
      <c r="E176" s="32"/>
      <c r="F176" s="32"/>
      <c r="G176" s="34"/>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row>
    <row r="177" customFormat="false" ht="12.75" hidden="false" customHeight="false" outlineLevel="0" collapsed="false">
      <c r="A177" s="32"/>
      <c r="B177" s="32"/>
      <c r="C177" s="32"/>
      <c r="D177" s="32"/>
      <c r="E177" s="32"/>
      <c r="F177" s="32"/>
      <c r="G177" s="34"/>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row>
    <row r="178" customFormat="false" ht="12.75" hidden="false" customHeight="false" outlineLevel="0" collapsed="false">
      <c r="A178" s="32"/>
      <c r="B178" s="32"/>
      <c r="C178" s="32"/>
      <c r="D178" s="32"/>
      <c r="E178" s="32"/>
      <c r="F178" s="32"/>
      <c r="G178" s="34"/>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row>
    <row r="179" customFormat="false" ht="12.75" hidden="false" customHeight="false" outlineLevel="0" collapsed="false">
      <c r="A179" s="32"/>
      <c r="B179" s="32"/>
      <c r="C179" s="32"/>
      <c r="D179" s="32"/>
      <c r="E179" s="32"/>
      <c r="F179" s="32"/>
      <c r="G179" s="34"/>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row>
    <row r="180" customFormat="false" ht="12.75" hidden="false" customHeight="false" outlineLevel="0" collapsed="false">
      <c r="A180" s="32"/>
      <c r="B180" s="32"/>
      <c r="C180" s="32"/>
      <c r="D180" s="32"/>
      <c r="E180" s="32"/>
      <c r="F180" s="32"/>
      <c r="G180" s="34"/>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row>
    <row r="181" customFormat="false" ht="12.75" hidden="false" customHeight="false" outlineLevel="0" collapsed="false">
      <c r="A181" s="32"/>
      <c r="B181" s="32"/>
      <c r="C181" s="32"/>
      <c r="D181" s="32"/>
      <c r="E181" s="32"/>
      <c r="F181" s="32"/>
      <c r="G181" s="34"/>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row>
    <row r="182" customFormat="false" ht="12.75" hidden="false" customHeight="false" outlineLevel="0" collapsed="false">
      <c r="A182" s="32"/>
      <c r="B182" s="32"/>
      <c r="C182" s="32"/>
      <c r="D182" s="32"/>
      <c r="E182" s="32"/>
      <c r="F182" s="32"/>
      <c r="G182" s="34"/>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row>
    <row r="183" customFormat="false" ht="12.75" hidden="false" customHeight="false" outlineLevel="0" collapsed="false">
      <c r="A183" s="32"/>
      <c r="B183" s="32"/>
      <c r="C183" s="32"/>
      <c r="D183" s="32"/>
      <c r="E183" s="32"/>
      <c r="F183" s="32"/>
      <c r="G183" s="34"/>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row>
    <row r="184" customFormat="false" ht="12.75" hidden="false" customHeight="false" outlineLevel="0" collapsed="false">
      <c r="A184" s="32"/>
      <c r="B184" s="32"/>
      <c r="C184" s="32"/>
      <c r="D184" s="32"/>
      <c r="E184" s="32"/>
      <c r="F184" s="32"/>
      <c r="G184" s="34"/>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row>
    <row r="185" customFormat="false" ht="12.75" hidden="false" customHeight="false" outlineLevel="0" collapsed="false">
      <c r="A185" s="32"/>
      <c r="B185" s="32"/>
      <c r="C185" s="32"/>
      <c r="D185" s="32"/>
      <c r="E185" s="32"/>
      <c r="F185" s="32"/>
      <c r="G185" s="34"/>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row>
    <row r="186" customFormat="false" ht="12.75" hidden="false" customHeight="false" outlineLevel="0" collapsed="false">
      <c r="A186" s="32"/>
      <c r="B186" s="32"/>
      <c r="C186" s="32"/>
      <c r="D186" s="32"/>
      <c r="E186" s="32"/>
      <c r="F186" s="32"/>
      <c r="G186" s="34"/>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row>
    <row r="187" customFormat="false" ht="12.75" hidden="false" customHeight="false" outlineLevel="0" collapsed="false">
      <c r="A187" s="32"/>
      <c r="B187" s="32"/>
      <c r="C187" s="32"/>
      <c r="D187" s="32"/>
      <c r="E187" s="32"/>
      <c r="F187" s="32"/>
      <c r="G187" s="34"/>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row>
    <row r="188" customFormat="false" ht="12.75" hidden="false" customHeight="false" outlineLevel="0" collapsed="false">
      <c r="A188" s="32"/>
      <c r="B188" s="32"/>
      <c r="C188" s="32"/>
      <c r="D188" s="32"/>
      <c r="E188" s="32"/>
      <c r="F188" s="32"/>
      <c r="G188" s="34"/>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row>
    <row r="189" customFormat="false" ht="12.75" hidden="false" customHeight="false" outlineLevel="0" collapsed="false">
      <c r="A189" s="32"/>
      <c r="B189" s="32"/>
      <c r="C189" s="32"/>
      <c r="D189" s="32"/>
      <c r="E189" s="32"/>
      <c r="F189" s="32"/>
      <c r="G189" s="34"/>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row>
    <row r="190" customFormat="false" ht="12.75" hidden="false" customHeight="false" outlineLevel="0" collapsed="false">
      <c r="A190" s="32"/>
      <c r="B190" s="32"/>
      <c r="C190" s="32"/>
      <c r="D190" s="32"/>
      <c r="E190" s="32"/>
      <c r="F190" s="32"/>
      <c r="G190" s="34"/>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row>
    <row r="191" customFormat="false" ht="12.75" hidden="false" customHeight="false" outlineLevel="0" collapsed="false">
      <c r="A191" s="32"/>
      <c r="B191" s="32"/>
      <c r="C191" s="32"/>
      <c r="D191" s="32"/>
      <c r="E191" s="32"/>
      <c r="F191" s="32"/>
      <c r="G191" s="34"/>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row>
    <row r="192" customFormat="false" ht="12.75" hidden="false" customHeight="false" outlineLevel="0" collapsed="false">
      <c r="A192" s="32"/>
      <c r="B192" s="32"/>
      <c r="C192" s="32"/>
      <c r="D192" s="32"/>
      <c r="E192" s="32"/>
      <c r="F192" s="32"/>
      <c r="G192" s="34"/>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row>
    <row r="193" customFormat="false" ht="12.75" hidden="false" customHeight="false" outlineLevel="0" collapsed="false">
      <c r="A193" s="32"/>
      <c r="B193" s="32"/>
      <c r="C193" s="32"/>
      <c r="D193" s="32"/>
      <c r="E193" s="32"/>
      <c r="F193" s="32"/>
      <c r="G193" s="34"/>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row>
    <row r="194" customFormat="false" ht="12.75" hidden="false" customHeight="false" outlineLevel="0" collapsed="false">
      <c r="A194" s="32"/>
      <c r="B194" s="32"/>
      <c r="C194" s="32"/>
      <c r="D194" s="32"/>
      <c r="E194" s="32"/>
      <c r="F194" s="32"/>
      <c r="G194" s="34"/>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row>
    <row r="195" customFormat="false" ht="12.75" hidden="false" customHeight="false" outlineLevel="0" collapsed="false">
      <c r="A195" s="32"/>
      <c r="B195" s="32"/>
      <c r="C195" s="32"/>
      <c r="D195" s="32"/>
      <c r="E195" s="32"/>
      <c r="F195" s="32"/>
      <c r="G195" s="34"/>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row>
    <row r="196" customFormat="false" ht="12.75" hidden="false" customHeight="false" outlineLevel="0" collapsed="false">
      <c r="A196" s="32"/>
      <c r="B196" s="32"/>
      <c r="C196" s="32"/>
      <c r="D196" s="32"/>
      <c r="E196" s="32"/>
      <c r="F196" s="32"/>
      <c r="G196" s="34"/>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row>
    <row r="197" customFormat="false" ht="12.75" hidden="false" customHeight="false" outlineLevel="0" collapsed="false">
      <c r="G197" s="34"/>
    </row>
    <row r="198" customFormat="false" ht="12.75" hidden="false" customHeight="false" outlineLevel="0" collapsed="false">
      <c r="G198" s="34"/>
    </row>
    <row r="199" customFormat="false" ht="12.75" hidden="false" customHeight="false" outlineLevel="0" collapsed="false">
      <c r="G199" s="34"/>
    </row>
  </sheetData>
  <mergeCells count="19">
    <mergeCell ref="A1:M1"/>
    <mergeCell ref="L2:M2"/>
    <mergeCell ref="D11:E12"/>
    <mergeCell ref="D14:G15"/>
    <mergeCell ref="B16:B19"/>
    <mergeCell ref="D16:I16"/>
    <mergeCell ref="D17:I17"/>
    <mergeCell ref="D18:I18"/>
    <mergeCell ref="D19:I19"/>
    <mergeCell ref="D22:F22"/>
    <mergeCell ref="D23:F23"/>
    <mergeCell ref="D24:F25"/>
    <mergeCell ref="B33:B34"/>
    <mergeCell ref="B45:B47"/>
    <mergeCell ref="AT60:AT66"/>
    <mergeCell ref="B61:B67"/>
    <mergeCell ref="I66:M67"/>
    <mergeCell ref="B82:C86"/>
    <mergeCell ref="B99:B100"/>
  </mergeCells>
  <conditionalFormatting sqref="E96">
    <cfRule type="expression" priority="2" aboveAverage="0" equalAverage="0" bottom="0" percent="0" rank="0" text="" dxfId="0">
      <formula>#ref!="Option A"</formula>
    </cfRule>
  </conditionalFormatting>
  <conditionalFormatting sqref="F40">
    <cfRule type="cellIs" priority="3" operator="greaterThan" aboveAverage="0" equalAverage="0" bottom="0" percent="0" rank="0" text="" dxfId="1">
      <formula>200</formula>
    </cfRule>
  </conditionalFormatting>
  <conditionalFormatting sqref="G96">
    <cfRule type="expression" priority="4" aboveAverage="0" equalAverage="0" bottom="0" percent="0" rank="0" text="" dxfId="2">
      <formula>#ref!="Option A"</formula>
    </cfRule>
  </conditionalFormatting>
  <conditionalFormatting sqref="F61">
    <cfRule type="colorScale" priority="5">
      <colorScale>
        <cfvo type="min" val="0"/>
        <cfvo type="formula" val="$AN$54*0.8"/>
        <cfvo type="formula" val="$AN$54"/>
        <color rgb="FFFFFFFF"/>
        <color rgb="FFFFC000"/>
        <color rgb="FFFF0000"/>
      </colorScale>
    </cfRule>
  </conditionalFormatting>
  <conditionalFormatting sqref="F41:F42">
    <cfRule type="cellIs" priority="6" operator="equal" aboveAverage="0" equalAverage="0" bottom="0" percent="0" rank="0" text="" dxfId="3">
      <formula>"NA"</formula>
    </cfRule>
    <cfRule type="cellIs" priority="7" operator="equal" aboveAverage="0" equalAverage="0" bottom="0" percent="0" rank="0" text="" dxfId="4">
      <formula>"""NA"""</formula>
    </cfRule>
  </conditionalFormatting>
  <conditionalFormatting sqref="F73">
    <cfRule type="cellIs" priority="8" operator="lessThan" aboveAverage="0" equalAverage="0" bottom="0" percent="0" rank="0" text="" dxfId="5">
      <formula>0.25</formula>
    </cfRule>
  </conditionalFormatting>
  <conditionalFormatting sqref="F76">
    <cfRule type="cellIs" priority="9" operator="lessThan" aboveAverage="0" equalAverage="0" bottom="0" percent="0" rank="0" text="" dxfId="6">
      <formula>$F$75</formula>
    </cfRule>
  </conditionalFormatting>
  <conditionalFormatting sqref="F78">
    <cfRule type="cellIs" priority="10" operator="lessThan" aboveAverage="0" equalAverage="0" bottom="0" percent="0" rank="0" text="" dxfId="7">
      <formula>1.1</formula>
    </cfRule>
    <cfRule type="cellIs" priority="11" operator="between" aboveAverage="0" equalAverage="0" bottom="0" percent="0" rank="0" text="" dxfId="8">
      <formula>1.1</formula>
      <formula>1.3</formula>
    </cfRule>
  </conditionalFormatting>
  <conditionalFormatting sqref="E71:F71">
    <cfRule type="expression" priority="12" aboveAverage="0" equalAverage="0" bottom="0" percent="0" rank="0" text="" dxfId="9">
      <formula>#ref!="Yes"</formula>
    </cfRule>
  </conditionalFormatting>
  <conditionalFormatting sqref="G82 G84:G89">
    <cfRule type="expression" priority="13" aboveAverage="0" equalAverage="0" bottom="0" percent="0" rank="0" text="" dxfId="10">
      <formula>#ref!="Yes"</formula>
    </cfRule>
  </conditionalFormatting>
  <conditionalFormatting sqref="E72:G78">
    <cfRule type="expression" priority="14" aboveAverage="0" equalAverage="0" bottom="0" percent="0" rank="0" text="" dxfId="11">
      <formula>$F$71="Yes"</formula>
    </cfRule>
  </conditionalFormatting>
  <conditionalFormatting sqref="B79:G91">
    <cfRule type="expression" priority="15" aboveAverage="0" equalAverage="0" bottom="0" percent="0" rank="0" text="" dxfId="12">
      <formula>$F$71="NO"</formula>
    </cfRule>
  </conditionalFormatting>
  <conditionalFormatting sqref="F82 F85">
    <cfRule type="cellIs" priority="16" operator="greaterThanOrEqual" aboveAverage="0" equalAverage="0" bottom="0" percent="0" rank="0" text="" dxfId="13">
      <formula>$F$80</formula>
    </cfRule>
  </conditionalFormatting>
  <conditionalFormatting sqref="F86 F91">
    <cfRule type="cellIs" priority="17" operator="between" aboveAverage="0" equalAverage="0" bottom="0" percent="0" rank="0" text="" dxfId="14">
      <formula>1.1</formula>
      <formula>1.2999</formula>
    </cfRule>
    <cfRule type="cellIs" priority="18" operator="lessThan" aboveAverage="0" equalAverage="0" bottom="0" percent="0" rank="0" text="" dxfId="15">
      <formula>1.1</formula>
    </cfRule>
  </conditionalFormatting>
  <conditionalFormatting sqref="F67">
    <cfRule type="cellIs" priority="19" operator="lessThan" aboveAverage="0" equalAverage="0" bottom="0" percent="0" rank="0" text="" dxfId="16">
      <formula>$F$62</formula>
    </cfRule>
  </conditionalFormatting>
  <conditionalFormatting sqref="F79">
    <cfRule type="expression" priority="20" aboveAverage="0" equalAverage="0" bottom="0" percent="0" rank="0" text="" dxfId="17">
      <formula>#ref!="Yes"</formula>
    </cfRule>
  </conditionalFormatting>
  <conditionalFormatting sqref="E41:G45">
    <cfRule type="expression" priority="21" aboveAverage="0" equalAverage="0" bottom="0" percent="0" rank="0" text="" dxfId="18">
      <formula>IF($F$39="No", "TRUE", "FALSE")</formula>
    </cfRule>
  </conditionalFormatting>
  <conditionalFormatting sqref="F46:F48">
    <cfRule type="cellIs" priority="22" operator="lessThan" aboveAverage="0" equalAverage="0" bottom="0" percent="0" rank="0" text="" dxfId="19">
      <formula>$F$30</formula>
    </cfRule>
  </conditionalFormatting>
  <conditionalFormatting sqref="B82">
    <cfRule type="expression" priority="23" aboveAverage="0" equalAverage="0" bottom="0" percent="0" rank="0" text="" dxfId="20">
      <formula>$F$71="NO"</formula>
    </cfRule>
  </conditionalFormatting>
  <conditionalFormatting sqref="B27:AM60 B68:AM99 C61:AM65 B101:AM124 C100:AM100 C67:H67 C66:I66 N66:AM67">
    <cfRule type="expression" priority="24" aboveAverage="0" equalAverage="0" bottom="0" percent="0" rank="0" text="" dxfId="21">
      <formula>$G$23="No"</formula>
    </cfRule>
    <cfRule type="expression" priority="25" aboveAverage="0" equalAverage="0" bottom="0" percent="0" rank="0" text="" dxfId="22">
      <formula>$G$22="No"</formula>
    </cfRule>
  </conditionalFormatting>
  <conditionalFormatting sqref="AT60:AT66">
    <cfRule type="expression" priority="26" aboveAverage="0" equalAverage="0" bottom="0" percent="0" rank="0" text="" dxfId="23">
      <formula>$G$23="No"</formula>
    </cfRule>
    <cfRule type="expression" priority="27" aboveAverage="0" equalAverage="0" bottom="0" percent="0" rank="0" text="" dxfId="24">
      <formula>$G$22="No"</formula>
    </cfRule>
  </conditionalFormatting>
  <conditionalFormatting sqref="B61:B67">
    <cfRule type="expression" priority="28" aboveAverage="0" equalAverage="0" bottom="0" percent="0" rank="0" text="" dxfId="25">
      <formula>$G$23="No"</formula>
    </cfRule>
    <cfRule type="expression" priority="29" aboveAverage="0" equalAverage="0" bottom="0" percent="0" rank="0" text="" dxfId="26">
      <formula>$G$22="No"</formula>
    </cfRule>
  </conditionalFormatting>
  <dataValidations count="9">
    <dataValidation allowBlank="true" operator="between" showDropDown="false" showErrorMessage="true" showInputMessage="true" sqref="F52" type="whole">
      <formula1>1</formula1>
      <formula2>6</formula2>
    </dataValidation>
    <dataValidation allowBlank="true" operator="greaterThan" showDropDown="false" showErrorMessage="true" showInputMessage="true" sqref="F43 F45" type="decimal">
      <formula1>0</formula1>
      <formula2>0</formula2>
    </dataValidation>
    <dataValidation allowBlank="true" error="When using resistor divider Rs should be set larger than Rs,eff. &#10;&#10;Otherwise switch to &quot;No resistor divider&quot;" errorTitle="Resistor Divider" operator="between" showDropDown="false" showErrorMessage="true" showInputMessage="true" sqref="F41" type="custom">
      <formula1>"""NA"""</formula1>
      <formula2>0</formula2>
    </dataValidation>
    <dataValidation allowBlank="true" operator="between" showDropDown="false" showErrorMessage="true" showInputMessage="true" sqref="F39 F71 F79" type="list">
      <formula1>$AN$39:$AN$40</formula1>
      <formula2>0</formula2>
    </dataValidation>
    <dataValidation allowBlank="true" operator="between" showDropDown="false" showErrorMessage="true" showInputMessage="true" sqref="F69" type="list">
      <formula1>$AN$70:$AN$71</formula1>
      <formula2>0</formula2>
    </dataValidation>
    <dataValidation allowBlank="true" operator="between" showDropDown="false" showErrorMessage="true" showInputMessage="true" sqref="F54" type="decimal">
      <formula1>0</formula1>
      <formula2>200</formula2>
    </dataValidation>
    <dataValidation allowBlank="true" operator="between" showDropDown="false" showErrorMessage="true" showInputMessage="true" sqref="F55:F59" type="decimal">
      <formula1>0.001</formula1>
      <formula2>400</formula2>
    </dataValidation>
    <dataValidation allowBlank="true" error="Must enter value less than 10" operator="between" showDropDown="false" showErrorMessage="true" showInputMessage="true" sqref="F44" type="decimal">
      <formula1>0</formula1>
      <formula2>10</formula2>
    </dataValidation>
    <dataValidation allowBlank="true" operator="between" showDropDown="false" showErrorMessage="true" showInputMessage="true" sqref="G22:G23" type="list">
      <formula1>yesno</formula1>
      <formula2>0</formula2>
    </dataValidation>
  </dataValidations>
  <hyperlinks>
    <hyperlink ref="B2" r:id="rId2" display="www.ti.com/hotswap"/>
    <hyperlink ref="D16" r:id="rId3" display="Steps 1 &amp; 2: Operating Conditions, Current Limit, &amp; Circuit Breaker (7:41)"/>
    <hyperlink ref="D17" r:id="rId4" display="Step 3: MOSFET Selection (9:58)"/>
    <hyperlink ref="D18" r:id="rId5" display="Step 4: Startup (10:32)"/>
    <hyperlink ref="D19" r:id="rId6" display="Step 5: UVLO, OVLO &amp; PGD Thresholds (4:20)"/>
    <hyperlink ref="D20" r:id="rId7" display="TPS2490 Datasheet"/>
    <hyperlink ref="D24" r:id="rId8" display="*For additional questions not addressed in the videos, please post on E2E.ti.com"/>
    <hyperlink ref="B33" r:id="rId9" display="Steps 1 &amp; 2: Operating Conditions, Current Limit, &amp; Circuit Breaker"/>
    <hyperlink ref="B45" r:id="rId10" display="Steps 1 &amp; 2: Operating Conditions, Current Limit, &amp; Circuit Breaker"/>
    <hyperlink ref="B57" r:id="rId11" display="Step 3: MOSFET Selection"/>
    <hyperlink ref="B77" r:id="rId12" display="Step 4: Startup"/>
    <hyperlink ref="B99" r:id="rId13" display="Step 5: UVLO, OVLO &amp; PGD Thresholds"/>
  </hyperlinks>
  <printOptions headings="false" gridLines="false" gridLinesSet="true" horizontalCentered="false" verticalCentered="false"/>
  <pageMargins left="0.170138888888889" right="0.170138888888889" top="0.55" bottom="0.920138888888889" header="0.511805555555555" footer="0.511805555555555"/>
  <pageSetup paperSize="1" scale="6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4"/>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J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ColWidth="8.70703125" defaultRowHeight="12.75" zeroHeight="false" outlineLevelRow="0" outlineLevelCol="0"/>
  <cols>
    <col collapsed="false" customWidth="true" hidden="false" outlineLevel="0" max="1" min="1" style="0" width="9.4"/>
    <col collapsed="false" customWidth="true" hidden="false" outlineLevel="0" max="2" min="2" style="0" width="24.26"/>
    <col collapsed="false" customWidth="true" hidden="false" outlineLevel="0" max="12" min="12" style="0" width="13.6"/>
  </cols>
  <sheetData>
    <row r="2" customFormat="false" ht="12.75" hidden="false" customHeight="false" outlineLevel="0" collapsed="false">
      <c r="A2" s="199"/>
      <c r="C2" s="199" t="s">
        <v>161</v>
      </c>
      <c r="D2" s="199" t="s">
        <v>162</v>
      </c>
      <c r="E2" s="199" t="s">
        <v>163</v>
      </c>
      <c r="F2" s="199" t="s">
        <v>143</v>
      </c>
    </row>
    <row r="3" customFormat="false" ht="13.15" hidden="false" customHeight="false" outlineLevel="0" collapsed="false">
      <c r="A3" s="200" t="s">
        <v>164</v>
      </c>
      <c r="C3" s="199"/>
      <c r="D3" s="199"/>
      <c r="E3" s="199"/>
    </row>
    <row r="4" customFormat="false" ht="13.15" hidden="false" customHeight="false" outlineLevel="0" collapsed="false">
      <c r="A4" s="200"/>
      <c r="B4" s="199" t="s">
        <v>165</v>
      </c>
      <c r="C4" s="201" t="n">
        <v>-40</v>
      </c>
      <c r="D4" s="201"/>
      <c r="E4" s="201" t="n">
        <v>125</v>
      </c>
    </row>
    <row r="5" customFormat="false" ht="12.75" hidden="false" customHeight="false" outlineLevel="0" collapsed="false">
      <c r="B5" s="202" t="s">
        <v>166</v>
      </c>
      <c r="C5" s="203" t="n">
        <v>9</v>
      </c>
      <c r="D5" s="203"/>
      <c r="E5" s="203" t="n">
        <v>80</v>
      </c>
      <c r="F5" s="199" t="s">
        <v>39</v>
      </c>
      <c r="J5" s="204"/>
    </row>
    <row r="6" customFormat="false" ht="16.5" hidden="false" customHeight="true" outlineLevel="0" collapsed="false">
      <c r="A6" s="200" t="s">
        <v>167</v>
      </c>
      <c r="B6" s="202"/>
      <c r="C6" s="203"/>
      <c r="D6" s="203"/>
      <c r="E6" s="203"/>
      <c r="J6" s="204"/>
    </row>
    <row r="7" customFormat="false" ht="12.75" hidden="false" customHeight="false" outlineLevel="0" collapsed="false">
      <c r="B7" s="202" t="s">
        <v>168</v>
      </c>
      <c r="C7" s="203" t="n">
        <v>45</v>
      </c>
      <c r="D7" s="203" t="n">
        <v>50</v>
      </c>
      <c r="E7" s="203" t="n">
        <v>55</v>
      </c>
      <c r="J7" s="202"/>
    </row>
    <row r="8" customFormat="false" ht="12.75" hidden="false" customHeight="false" outlineLevel="0" collapsed="false">
      <c r="B8" s="202" t="s">
        <v>169</v>
      </c>
      <c r="C8" s="203"/>
      <c r="D8" s="203" t="n">
        <v>7.5</v>
      </c>
      <c r="E8" s="203" t="n">
        <v>20</v>
      </c>
      <c r="F8" s="199" t="s">
        <v>170</v>
      </c>
      <c r="J8" s="202"/>
    </row>
    <row r="9" customFormat="false" ht="12.75" hidden="false" customHeight="false" outlineLevel="0" collapsed="false">
      <c r="C9" s="203"/>
      <c r="D9" s="203"/>
      <c r="E9" s="203"/>
    </row>
    <row r="10" customFormat="false" ht="12.75" hidden="false" customHeight="false" outlineLevel="0" collapsed="false">
      <c r="C10" s="203"/>
      <c r="D10" s="203"/>
      <c r="E10" s="203"/>
    </row>
    <row r="11" customFormat="false" ht="13.15" hidden="false" customHeight="false" outlineLevel="0" collapsed="false">
      <c r="A11" s="200" t="s">
        <v>171</v>
      </c>
      <c r="C11" s="203"/>
      <c r="D11" s="203"/>
      <c r="E11" s="203"/>
    </row>
    <row r="12" customFormat="false" ht="12.75" hidden="false" customHeight="false" outlineLevel="0" collapsed="false">
      <c r="B12" s="202" t="s">
        <v>172</v>
      </c>
      <c r="C12" s="203" t="n">
        <v>3.9</v>
      </c>
      <c r="D12" s="203" t="n">
        <v>4</v>
      </c>
      <c r="E12" s="203" t="n">
        <v>4.1</v>
      </c>
      <c r="F12" s="199" t="s">
        <v>39</v>
      </c>
    </row>
    <row r="13" customFormat="false" ht="12.75" hidden="false" customHeight="false" outlineLevel="0" collapsed="false">
      <c r="B13" s="202"/>
      <c r="C13" s="203"/>
      <c r="D13" s="203"/>
      <c r="E13" s="203"/>
      <c r="F13" s="199"/>
    </row>
    <row r="14" customFormat="false" ht="12.75" hidden="false" customHeight="false" outlineLevel="0" collapsed="false">
      <c r="B14" s="202" t="s">
        <v>173</v>
      </c>
      <c r="C14" s="203"/>
      <c r="D14" s="203"/>
      <c r="E14" s="203"/>
      <c r="F14" s="199"/>
    </row>
    <row r="15" customFormat="false" ht="12.75" hidden="false" customHeight="false" outlineLevel="0" collapsed="false">
      <c r="B15" s="202" t="s">
        <v>174</v>
      </c>
      <c r="C15" s="203" t="n">
        <v>15</v>
      </c>
      <c r="D15" s="203" t="n">
        <v>25</v>
      </c>
      <c r="E15" s="203" t="n">
        <v>34</v>
      </c>
      <c r="F15" s="199" t="s">
        <v>170</v>
      </c>
    </row>
    <row r="16" customFormat="false" ht="12.75" hidden="false" customHeight="false" outlineLevel="0" collapsed="false">
      <c r="B16" s="202" t="s">
        <v>175</v>
      </c>
      <c r="C16" s="203"/>
      <c r="D16" s="203" t="n">
        <f aca="false">SQRT(0.66^2+ ((34-25)/25)^2+ 0.1^2)</f>
        <v>0.758419409034342</v>
      </c>
      <c r="E16" s="203"/>
      <c r="F16" s="199"/>
      <c r="G16" s="199" t="s">
        <v>176</v>
      </c>
    </row>
    <row r="17" customFormat="false" ht="12.75" hidden="false" customHeight="false" outlineLevel="0" collapsed="false">
      <c r="B17" s="202" t="s">
        <v>177</v>
      </c>
      <c r="C17" s="203"/>
      <c r="D17" s="203" t="n">
        <v>0.75</v>
      </c>
      <c r="E17" s="203"/>
      <c r="F17" s="199"/>
      <c r="G17" s="199" t="s">
        <v>178</v>
      </c>
    </row>
    <row r="18" customFormat="false" ht="12.75" hidden="false" customHeight="false" outlineLevel="0" collapsed="false">
      <c r="B18" s="204"/>
      <c r="C18" s="203"/>
      <c r="D18" s="203"/>
      <c r="E18" s="203"/>
    </row>
    <row r="19" customFormat="false" ht="13.15" hidden="false" customHeight="false" outlineLevel="0" collapsed="false">
      <c r="A19" s="200" t="s">
        <v>179</v>
      </c>
      <c r="B19" s="204"/>
      <c r="C19" s="203"/>
      <c r="D19" s="203"/>
      <c r="E19" s="203"/>
    </row>
    <row r="20" customFormat="false" ht="12.75" hidden="false" customHeight="false" outlineLevel="0" collapsed="false">
      <c r="B20" s="202" t="s">
        <v>180</v>
      </c>
      <c r="C20" s="203" t="n">
        <v>15</v>
      </c>
      <c r="D20" s="203" t="n">
        <v>22</v>
      </c>
      <c r="E20" s="203" t="n">
        <v>35</v>
      </c>
    </row>
    <row r="21" customFormat="false" ht="12.75" hidden="false" customHeight="false" outlineLevel="0" collapsed="false">
      <c r="B21" s="204"/>
      <c r="C21" s="203"/>
      <c r="D21" s="203"/>
      <c r="E21" s="203"/>
    </row>
    <row r="22" customFormat="false" ht="13.15" hidden="false" customHeight="false" outlineLevel="0" collapsed="false">
      <c r="A22" s="200" t="s">
        <v>181</v>
      </c>
      <c r="B22" s="204"/>
      <c r="C22" s="203"/>
      <c r="D22" s="203"/>
      <c r="E22" s="203"/>
    </row>
    <row r="23" customFormat="false" ht="12.75" hidden="false" customHeight="false" outlineLevel="0" collapsed="false">
      <c r="B23" s="199" t="s">
        <v>182</v>
      </c>
      <c r="C23" s="0" t="n">
        <v>1.32</v>
      </c>
      <c r="D23" s="0" t="n">
        <v>1.35</v>
      </c>
      <c r="E23" s="0" t="n">
        <v>1.38</v>
      </c>
      <c r="F23" s="199" t="s">
        <v>39</v>
      </c>
    </row>
    <row r="24" customFormat="false" ht="12.75" hidden="false" customHeight="false" outlineLevel="0" collapsed="false">
      <c r="B24" s="199" t="s">
        <v>183</v>
      </c>
      <c r="C24" s="0" t="n">
        <v>1.22</v>
      </c>
      <c r="D24" s="0" t="n">
        <v>1.25</v>
      </c>
      <c r="E24" s="0" t="n">
        <v>1.28</v>
      </c>
      <c r="F24" s="199" t="s">
        <v>39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3:Y171"/>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F39" activeCellId="0" sqref="F39"/>
    </sheetView>
  </sheetViews>
  <sheetFormatPr defaultColWidth="8.70703125" defaultRowHeight="12.75" zeroHeight="false" outlineLevelRow="0" outlineLevelCol="0"/>
  <cols>
    <col collapsed="false" customWidth="true" hidden="false" outlineLevel="0" max="6" min="6" style="0" width="14.28"/>
    <col collapsed="false" customWidth="true" hidden="false" outlineLevel="0" max="8" min="8" style="0" width="14.01"/>
    <col collapsed="false" customWidth="true" hidden="false" outlineLevel="0" max="9" min="9" style="0" width="12.71"/>
    <col collapsed="false" customWidth="true" hidden="false" outlineLevel="0" max="10" min="10" style="0" width="11.72"/>
  </cols>
  <sheetData>
    <row r="13" customFormat="false" ht="13.15" hidden="false" customHeight="false" outlineLevel="0" collapsed="false">
      <c r="A13" s="200" t="s">
        <v>167</v>
      </c>
    </row>
    <row r="14" customFormat="false" ht="12.75" hidden="false" customHeight="false" outlineLevel="0" collapsed="false">
      <c r="E14" s="204"/>
    </row>
    <row r="15" customFormat="false" ht="12.75" hidden="false" customHeight="false" outlineLevel="0" collapsed="false">
      <c r="D15" s="0" t="s">
        <v>184</v>
      </c>
      <c r="E15" s="0" t="n">
        <v>45</v>
      </c>
      <c r="F15" s="205" t="s">
        <v>185</v>
      </c>
    </row>
    <row r="16" customFormat="false" ht="12.75" hidden="false" customHeight="false" outlineLevel="0" collapsed="false">
      <c r="D16" s="0" t="s">
        <v>186</v>
      </c>
      <c r="E16" s="0" t="n">
        <v>50</v>
      </c>
      <c r="F16" s="205" t="s">
        <v>185</v>
      </c>
    </row>
    <row r="17" customFormat="false" ht="12.75" hidden="false" customHeight="false" outlineLevel="0" collapsed="false">
      <c r="D17" s="0" t="s">
        <v>187</v>
      </c>
      <c r="E17" s="0" t="n">
        <v>55</v>
      </c>
      <c r="F17" s="205" t="s">
        <v>185</v>
      </c>
    </row>
    <row r="18" customFormat="false" ht="12.75" hidden="false" customHeight="false" outlineLevel="0" collapsed="false">
      <c r="E18" s="204"/>
    </row>
    <row r="19" customFormat="false" ht="13.15" hidden="false" customHeight="false" outlineLevel="0" collapsed="false">
      <c r="A19" s="200"/>
      <c r="E19" s="204"/>
    </row>
    <row r="20" customFormat="false" ht="12.75" hidden="false" customHeight="false" outlineLevel="0" collapsed="false">
      <c r="E20" s="204" t="s">
        <v>188</v>
      </c>
      <c r="F20" s="0" t="n">
        <f aca="false">CLMIN_Threshold/('Design Calculator'!F30*1.01)</f>
        <v>0.99009900990099</v>
      </c>
    </row>
    <row r="21" customFormat="false" ht="12.75" hidden="false" customHeight="false" outlineLevel="0" collapsed="false">
      <c r="E21" s="202" t="s">
        <v>189</v>
      </c>
      <c r="F21" s="199" t="str">
        <f aca="false">IF(Rs&gt;RsMAX,10,"NA")</f>
        <v>NA</v>
      </c>
    </row>
    <row r="22" customFormat="false" ht="12.75" hidden="false" customHeight="false" outlineLevel="0" collapsed="false">
      <c r="E22" s="202" t="s">
        <v>190</v>
      </c>
      <c r="F22" s="0" t="str">
        <f aca="false">IF(Rs&gt;RsMAX,(((IOUTMAX*Rs)/CLMIN_Threshold)-1)*F21,"NA")</f>
        <v>NA</v>
      </c>
    </row>
    <row r="23" customFormat="false" ht="12.75" hidden="false" customHeight="false" outlineLevel="0" collapsed="false">
      <c r="E23" s="202" t="s">
        <v>191</v>
      </c>
      <c r="F23" s="0" t="n">
        <f aca="false">IF(RsMAX&gt;Rs,Rs,IF('Design Calculator'!F39="Yes",IF(Rs&gt;RsMAX,Rs/(1+RDIV2/RDIV1),Rs),Rs))</f>
        <v>0.5</v>
      </c>
      <c r="H23" s="206"/>
    </row>
    <row r="24" customFormat="false" ht="12.75" hidden="false" customHeight="false" outlineLevel="0" collapsed="false">
      <c r="E24" s="204" t="s">
        <v>192</v>
      </c>
      <c r="F24" s="207" t="n">
        <f aca="false">CLMIN_Threshold/RsEFF</f>
        <v>90</v>
      </c>
      <c r="G24" s="207"/>
    </row>
    <row r="25" customFormat="false" ht="12.75" hidden="false" customHeight="false" outlineLevel="0" collapsed="false">
      <c r="E25" s="204" t="s">
        <v>193</v>
      </c>
      <c r="F25" s="0" t="n">
        <f aca="false">CLNOM_Threshold/RsEFF</f>
        <v>100</v>
      </c>
    </row>
    <row r="26" customFormat="false" ht="12.75" hidden="false" customHeight="false" outlineLevel="0" collapsed="false">
      <c r="E26" s="204" t="s">
        <v>194</v>
      </c>
      <c r="F26" s="0" t="n">
        <f aca="false">CLMAX_Threshold/RsEFF</f>
        <v>110</v>
      </c>
    </row>
    <row r="27" customFormat="false" ht="12.75" hidden="false" customHeight="false" outlineLevel="0" collapsed="false">
      <c r="E27" s="204" t="s">
        <v>195</v>
      </c>
      <c r="F27" s="0" t="n">
        <f aca="false">F26^2*'Design Calculator'!F40</f>
        <v>6050</v>
      </c>
      <c r="J27" s="199" t="s">
        <v>196</v>
      </c>
    </row>
    <row r="28" customFormat="false" ht="12.75" hidden="false" customHeight="false" outlineLevel="0" collapsed="false">
      <c r="J28" s="199"/>
    </row>
    <row r="29" customFormat="false" ht="12.75" hidden="false" customHeight="false" outlineLevel="0" collapsed="false">
      <c r="J29" s="199" t="s">
        <v>197</v>
      </c>
    </row>
    <row r="30" customFormat="false" ht="12.75" hidden="false" customHeight="false" outlineLevel="0" collapsed="false">
      <c r="E30" s="204"/>
      <c r="J30" s="199"/>
    </row>
    <row r="31" customFormat="false" ht="13.15" hidden="false" customHeight="false" outlineLevel="0" collapsed="false">
      <c r="A31" s="200" t="s">
        <v>198</v>
      </c>
      <c r="J31" s="199" t="s">
        <v>199</v>
      </c>
    </row>
    <row r="32" customFormat="false" ht="12.75" hidden="false" customHeight="false" outlineLevel="0" collapsed="false">
      <c r="A32" s="199"/>
      <c r="F32" s="199" t="s">
        <v>200</v>
      </c>
      <c r="H32" s="199" t="s">
        <v>201</v>
      </c>
      <c r="J32" s="199"/>
    </row>
    <row r="33" customFormat="false" ht="12.75" hidden="false" customHeight="false" outlineLevel="0" collapsed="false">
      <c r="A33" s="199"/>
      <c r="E33" s="208" t="s">
        <v>202</v>
      </c>
      <c r="F33" s="209" t="n">
        <f aca="false">VINMAX*'Design Calculator'!F55</f>
        <v>6000</v>
      </c>
      <c r="G33" s="199" t="s">
        <v>56</v>
      </c>
      <c r="H33" s="0" t="n">
        <f aca="false">F33*(TJMAX-TJ)/(TJMAX-25)</f>
        <v>3733.5</v>
      </c>
      <c r="J33" s="199" t="s">
        <v>203</v>
      </c>
    </row>
    <row r="34" customFormat="false" ht="12.75" hidden="false" customHeight="false" outlineLevel="0" collapsed="false">
      <c r="A34" s="199"/>
      <c r="E34" s="208" t="s">
        <v>204</v>
      </c>
      <c r="F34" s="209" t="n">
        <f aca="false">VINMAX*'Design Calculator'!F56</f>
        <v>1500</v>
      </c>
      <c r="G34" s="199" t="s">
        <v>56</v>
      </c>
      <c r="H34" s="0" t="n">
        <f aca="false">F34*(TJMAX-TJ)/(TJMAX-25)</f>
        <v>933.375</v>
      </c>
      <c r="J34" s="199"/>
    </row>
    <row r="35" customFormat="false" ht="12.75" hidden="false" customHeight="false" outlineLevel="0" collapsed="false">
      <c r="A35" s="199"/>
      <c r="E35" s="208" t="s">
        <v>205</v>
      </c>
      <c r="F35" s="209" t="n">
        <f aca="false">VINMAX*'Design Calculator'!F57</f>
        <v>600</v>
      </c>
      <c r="G35" s="199" t="s">
        <v>56</v>
      </c>
      <c r="H35" s="0" t="n">
        <f aca="false">F35*(TJMAX-TJ)/(TJMAX-25)</f>
        <v>373.35</v>
      </c>
    </row>
    <row r="36" customFormat="false" ht="12.75" hidden="false" customHeight="false" outlineLevel="0" collapsed="false">
      <c r="A36" s="199"/>
      <c r="E36" s="208" t="s">
        <v>206</v>
      </c>
      <c r="F36" s="209" t="n">
        <f aca="false">VINMAX*'Design Calculator'!F58</f>
        <v>250</v>
      </c>
      <c r="G36" s="210" t="s">
        <v>56</v>
      </c>
      <c r="H36" s="0" t="n">
        <f aca="false">F36*(TJMAX-TJ)/(TJMAX-25)</f>
        <v>155.5625</v>
      </c>
      <c r="J36" s="199"/>
    </row>
    <row r="37" customFormat="false" ht="12.75" hidden="false" customHeight="false" outlineLevel="0" collapsed="false">
      <c r="A37" s="199"/>
      <c r="E37" s="202"/>
      <c r="F37" s="211"/>
      <c r="G37" s="210"/>
    </row>
    <row r="38" customFormat="false" ht="12.75" hidden="false" customHeight="false" outlineLevel="0" collapsed="false">
      <c r="A38" s="199"/>
      <c r="E38" s="202" t="s">
        <v>207</v>
      </c>
      <c r="F38" s="211" t="n">
        <f aca="false">MAX(VINMAX*5/RsEFF,0.4*10*CLNOM)</f>
        <v>500</v>
      </c>
      <c r="G38" s="210" t="s">
        <v>56</v>
      </c>
      <c r="J38" s="199"/>
    </row>
    <row r="39" customFormat="false" ht="12.75" hidden="false" customHeight="false" outlineLevel="0" collapsed="false">
      <c r="A39" s="199"/>
      <c r="E39" s="202" t="s">
        <v>208</v>
      </c>
      <c r="F39" s="211" t="n">
        <f aca="false">'Design Calculator'!F63</f>
        <v>500</v>
      </c>
      <c r="G39" s="210" t="s">
        <v>56</v>
      </c>
    </row>
    <row r="40" customFormat="false" ht="12.75" hidden="false" customHeight="false" outlineLevel="0" collapsed="false">
      <c r="A40" s="199"/>
      <c r="E40" s="212" t="s">
        <v>209</v>
      </c>
      <c r="F40" s="203" t="n">
        <f aca="false">F39/CLNOM/10</f>
        <v>0.5</v>
      </c>
      <c r="G40" s="210" t="s">
        <v>39</v>
      </c>
    </row>
    <row r="41" customFormat="false" ht="12.75" hidden="false" customHeight="false" outlineLevel="0" collapsed="false">
      <c r="A41" s="199"/>
      <c r="E41" s="212" t="s">
        <v>210</v>
      </c>
      <c r="F41" s="203" t="n">
        <f aca="false">'Design Calculator'!F64</f>
        <v>47</v>
      </c>
      <c r="G41" s="199" t="s">
        <v>211</v>
      </c>
    </row>
    <row r="42" customFormat="false" ht="12.75" hidden="false" customHeight="false" outlineLevel="0" collapsed="false">
      <c r="A42" s="199"/>
      <c r="E42" s="212" t="s">
        <v>212</v>
      </c>
      <c r="F42" s="213" t="n">
        <f aca="false">F40/4</f>
        <v>0.125</v>
      </c>
    </row>
    <row r="43" customFormat="false" ht="12.75" hidden="false" customHeight="false" outlineLevel="0" collapsed="false">
      <c r="A43" s="199"/>
      <c r="E43" s="212" t="s">
        <v>213</v>
      </c>
      <c r="F43" s="213" t="n">
        <f aca="false">F41*F42/(1-F42)</f>
        <v>6.71428571428571</v>
      </c>
      <c r="G43" s="199" t="s">
        <v>211</v>
      </c>
    </row>
    <row r="44" customFormat="false" ht="12.75" hidden="false" customHeight="false" outlineLevel="0" collapsed="false">
      <c r="A44" s="199"/>
      <c r="E44" s="212" t="s">
        <v>214</v>
      </c>
      <c r="F44" s="211" t="n">
        <f aca="false">'Design Calculator'!F66</f>
        <v>6.8</v>
      </c>
    </row>
    <row r="45" customFormat="false" ht="12.75" hidden="false" customHeight="false" outlineLevel="0" collapsed="false">
      <c r="A45" s="199"/>
      <c r="E45" s="212"/>
      <c r="F45" s="211"/>
    </row>
    <row r="46" customFormat="false" ht="12.75" hidden="false" customHeight="false" outlineLevel="0" collapsed="false">
      <c r="E46" s="202" t="s">
        <v>215</v>
      </c>
      <c r="F46" s="214" t="n">
        <f aca="false">4*F44/(F44+F41)</f>
        <v>0.505576208178439</v>
      </c>
      <c r="G46" s="210" t="s">
        <v>39</v>
      </c>
    </row>
    <row r="47" customFormat="false" ht="12.75" hidden="false" customHeight="false" outlineLevel="0" collapsed="false">
      <c r="E47" s="202" t="s">
        <v>216</v>
      </c>
      <c r="F47" s="214" t="n">
        <f aca="false">F46*10*CLNOM</f>
        <v>505.576208178439</v>
      </c>
      <c r="G47" s="210"/>
    </row>
    <row r="48" customFormat="false" ht="12.75" hidden="false" customHeight="false" outlineLevel="0" collapsed="false">
      <c r="E48" s="202"/>
      <c r="F48" s="215"/>
      <c r="G48" s="210"/>
    </row>
    <row r="49" customFormat="false" ht="12.75" hidden="false" customHeight="false" outlineLevel="0" collapsed="false">
      <c r="E49" s="204"/>
      <c r="F49" s="203"/>
      <c r="H49" s="204"/>
      <c r="I49" s="203"/>
      <c r="K49" s="204"/>
      <c r="L49" s="203"/>
    </row>
    <row r="50" customFormat="false" ht="12.75" hidden="false" customHeight="false" outlineLevel="0" collapsed="false">
      <c r="E50" s="204"/>
      <c r="F50" s="203"/>
      <c r="H50" s="204"/>
      <c r="I50" s="203"/>
      <c r="K50" s="204"/>
      <c r="L50" s="203"/>
    </row>
    <row r="51" customFormat="false" ht="13.15" hidden="false" customHeight="false" outlineLevel="0" collapsed="false">
      <c r="A51" s="200" t="s">
        <v>217</v>
      </c>
    </row>
    <row r="52" customFormat="false" ht="13.15" hidden="false" customHeight="false" outlineLevel="0" collapsed="false">
      <c r="A52" s="200"/>
      <c r="D52" s="216" t="s">
        <v>218</v>
      </c>
      <c r="E52" s="216"/>
      <c r="F52" s="216"/>
      <c r="G52" s="216"/>
    </row>
    <row r="53" customFormat="false" ht="13.15" hidden="false" customHeight="false" outlineLevel="0" collapsed="false">
      <c r="A53" s="200"/>
      <c r="E53" s="202" t="s">
        <v>219</v>
      </c>
      <c r="F53" s="207" t="n">
        <f aca="false">Start_up!M2</f>
        <v>61.3636363636363</v>
      </c>
      <c r="G53" s="199" t="s">
        <v>101</v>
      </c>
    </row>
    <row r="54" customFormat="false" ht="13.15" hidden="false" customHeight="false" outlineLevel="0" collapsed="false">
      <c r="A54" s="200"/>
      <c r="E54" s="202" t="s">
        <v>220</v>
      </c>
      <c r="F54" s="207" t="n">
        <f aca="false">'Device Parmaters'!D17</f>
        <v>0.75</v>
      </c>
    </row>
    <row r="55" customFormat="false" ht="13.15" hidden="false" customHeight="false" outlineLevel="0" collapsed="false">
      <c r="A55" s="200"/>
      <c r="E55" s="202" t="s">
        <v>221</v>
      </c>
      <c r="F55" s="0" t="n">
        <f aca="false">F53*(1+F54)</f>
        <v>107.386363636364</v>
      </c>
      <c r="G55" s="199" t="s">
        <v>101</v>
      </c>
    </row>
    <row r="56" customFormat="false" ht="13.15" hidden="false" customHeight="false" outlineLevel="0" collapsed="false">
      <c r="A56" s="200"/>
      <c r="E56" s="202" t="s">
        <v>104</v>
      </c>
      <c r="F56" s="0" t="n">
        <f aca="false">'Device Parmaters'!D15/'Device Parmaters'!D12*F55</f>
        <v>671.164772727272</v>
      </c>
      <c r="G56" s="199" t="s">
        <v>105</v>
      </c>
    </row>
    <row r="57" customFormat="false" ht="13.15" hidden="false" customHeight="false" outlineLevel="0" collapsed="false">
      <c r="A57" s="200"/>
      <c r="E57" s="202" t="s">
        <v>222</v>
      </c>
      <c r="F57" s="207" t="n">
        <f aca="false">'Design Calculator'!F76</f>
        <v>220</v>
      </c>
      <c r="G57" s="199" t="s">
        <v>105</v>
      </c>
    </row>
    <row r="58" customFormat="false" ht="13.15" hidden="false" customHeight="false" outlineLevel="0" collapsed="false">
      <c r="A58" s="200"/>
      <c r="E58" s="202" t="s">
        <v>223</v>
      </c>
      <c r="F58" s="0" t="n">
        <f aca="false">'Device Parmaters'!D12/'Device Parmaters'!D15*F57</f>
        <v>35.2</v>
      </c>
      <c r="G58" s="199" t="s">
        <v>101</v>
      </c>
    </row>
    <row r="59" customFormat="false" ht="13.15" hidden="false" customHeight="false" outlineLevel="0" collapsed="false">
      <c r="A59" s="200"/>
      <c r="E59" s="202" t="s">
        <v>224</v>
      </c>
      <c r="F59" s="0" t="n">
        <f aca="false">SOA!C26/Equations!F47</f>
        <v>1.53123563790808</v>
      </c>
      <c r="G59" s="199"/>
    </row>
    <row r="60" customFormat="false" ht="13.15" hidden="false" customHeight="false" outlineLevel="0" collapsed="false">
      <c r="A60" s="200"/>
      <c r="E60" s="202"/>
      <c r="G60" s="199"/>
    </row>
    <row r="61" customFormat="false" ht="13.15" hidden="false" customHeight="false" outlineLevel="0" collapsed="false">
      <c r="A61" s="200"/>
      <c r="D61" s="216" t="s">
        <v>225</v>
      </c>
      <c r="E61" s="216"/>
      <c r="F61" s="216"/>
      <c r="G61" s="216"/>
    </row>
    <row r="62" customFormat="false" ht="13.15" hidden="false" customHeight="false" outlineLevel="0" collapsed="false">
      <c r="A62" s="200"/>
      <c r="C62" s="199"/>
      <c r="D62" s="217"/>
      <c r="E62" s="202" t="s">
        <v>226</v>
      </c>
      <c r="F62" s="201" t="n">
        <f aca="false">'Design Calculator'!F82</f>
        <v>0.25</v>
      </c>
      <c r="G62" s="201" t="s">
        <v>111</v>
      </c>
    </row>
    <row r="63" customFormat="false" ht="13.15" hidden="false" customHeight="false" outlineLevel="0" collapsed="false">
      <c r="A63" s="200"/>
      <c r="C63" s="199"/>
      <c r="D63" s="217"/>
      <c r="E63" s="202" t="s">
        <v>115</v>
      </c>
      <c r="F63" s="203" t="n">
        <f aca="false">'Device Parmaters'!D20/ss_rate</f>
        <v>88</v>
      </c>
      <c r="G63" s="199" t="s">
        <v>105</v>
      </c>
    </row>
    <row r="64" customFormat="false" ht="13.15" hidden="false" customHeight="false" outlineLevel="0" collapsed="false">
      <c r="A64" s="200"/>
      <c r="C64" s="199"/>
      <c r="D64" s="217"/>
      <c r="E64" s="202" t="s">
        <v>116</v>
      </c>
      <c r="F64" s="201" t="n">
        <f aca="false">'Design Calculator'!F84</f>
        <v>27</v>
      </c>
      <c r="G64" s="199" t="s">
        <v>105</v>
      </c>
    </row>
    <row r="65" customFormat="false" ht="13.15" hidden="false" customHeight="false" outlineLevel="0" collapsed="false">
      <c r="A65" s="200"/>
      <c r="C65" s="199"/>
      <c r="D65" s="217"/>
      <c r="E65" s="202" t="s">
        <v>227</v>
      </c>
      <c r="F65" s="203" t="n">
        <f aca="false">ss_rate*F63/F64</f>
        <v>0.814814814814815</v>
      </c>
      <c r="G65" s="199" t="s">
        <v>111</v>
      </c>
    </row>
    <row r="66" customFormat="false" ht="13.15" hidden="false" customHeight="false" outlineLevel="0" collapsed="false">
      <c r="A66" s="200"/>
      <c r="C66" s="199"/>
      <c r="D66" s="217"/>
      <c r="E66" s="202" t="s">
        <v>228</v>
      </c>
      <c r="F66" s="201" t="n">
        <f aca="false">COUTMAX*F65/1000</f>
        <v>3.25925925925926</v>
      </c>
      <c r="G66" s="201" t="s">
        <v>43</v>
      </c>
    </row>
    <row r="67" customFormat="false" ht="13.15" hidden="false" customHeight="false" outlineLevel="0" collapsed="false">
      <c r="A67" s="200"/>
      <c r="C67" s="199"/>
      <c r="D67" s="217"/>
      <c r="E67" s="202" t="s">
        <v>229</v>
      </c>
      <c r="F67" s="201" t="n">
        <f aca="false">VINMAX/F65</f>
        <v>61.3636363636364</v>
      </c>
      <c r="G67" s="201" t="s">
        <v>101</v>
      </c>
    </row>
    <row r="68" customFormat="false" ht="13.15" hidden="false" customHeight="false" outlineLevel="0" collapsed="false">
      <c r="A68" s="200"/>
      <c r="C68" s="199"/>
      <c r="D68" s="217"/>
      <c r="E68" s="202" t="s">
        <v>230</v>
      </c>
      <c r="F68" s="201" t="n">
        <f aca="false">Start_up!N5</f>
        <v>5.40772508741259</v>
      </c>
      <c r="G68" s="201" t="s">
        <v>231</v>
      </c>
    </row>
    <row r="69" customFormat="false" ht="13.15" hidden="false" customHeight="false" outlineLevel="0" collapsed="false">
      <c r="A69" s="200"/>
      <c r="C69" s="199"/>
      <c r="D69" s="217"/>
      <c r="E69" s="202" t="s">
        <v>232</v>
      </c>
      <c r="F69" s="201" t="n">
        <f aca="false">Start_up!Q4</f>
        <v>177.962962962963</v>
      </c>
      <c r="G69" s="201" t="s">
        <v>56</v>
      </c>
    </row>
    <row r="70" customFormat="false" ht="13.15" hidden="false" customHeight="false" outlineLevel="0" collapsed="false">
      <c r="A70" s="200"/>
      <c r="D70" s="218"/>
      <c r="E70" s="202" t="s">
        <v>233</v>
      </c>
      <c r="F70" s="201" t="n">
        <f aca="false">F68/F69*1000</f>
        <v>30.3868006993007</v>
      </c>
      <c r="G70" s="201" t="s">
        <v>101</v>
      </c>
    </row>
    <row r="71" customFormat="false" ht="13.15" hidden="false" customHeight="false" outlineLevel="0" collapsed="false">
      <c r="A71" s="200"/>
      <c r="E71" s="202" t="s">
        <v>234</v>
      </c>
      <c r="F71" s="199" t="n">
        <f aca="false">SOA!H28</f>
        <v>314.571217166047</v>
      </c>
      <c r="G71" s="201" t="s">
        <v>56</v>
      </c>
    </row>
    <row r="72" customFormat="false" ht="13.15" hidden="false" customHeight="false" outlineLevel="0" collapsed="false">
      <c r="A72" s="200"/>
      <c r="E72" s="202" t="s">
        <v>235</v>
      </c>
      <c r="F72" s="199" t="n">
        <f aca="false">F71/F69</f>
        <v>1.76762182382586</v>
      </c>
      <c r="G72" s="199"/>
    </row>
    <row r="73" customFormat="false" ht="13.15" hidden="false" customHeight="false" outlineLevel="0" collapsed="false">
      <c r="A73" s="200"/>
      <c r="E73" s="202"/>
      <c r="F73" s="199"/>
      <c r="G73" s="199"/>
    </row>
    <row r="74" customFormat="false" ht="13.15" hidden="false" customHeight="false" outlineLevel="0" collapsed="false">
      <c r="A74" s="200"/>
      <c r="E74" s="202"/>
      <c r="F74" s="199" t="n">
        <v>1</v>
      </c>
      <c r="G74" s="201" t="s">
        <v>101</v>
      </c>
    </row>
    <row r="75" customFormat="false" ht="13.15" hidden="false" customHeight="false" outlineLevel="0" collapsed="false">
      <c r="A75" s="200"/>
      <c r="D75" s="219" t="s">
        <v>236</v>
      </c>
      <c r="E75" s="219"/>
      <c r="F75" s="219"/>
      <c r="G75" s="219"/>
      <c r="H75" s="219"/>
    </row>
    <row r="76" customFormat="false" ht="13.15" hidden="false" customHeight="false" outlineLevel="0" collapsed="false">
      <c r="A76" s="200"/>
      <c r="E76" s="202" t="s">
        <v>119</v>
      </c>
      <c r="F76" s="220" t="n">
        <f aca="false">'Design Calculator'!F87</f>
        <v>0.4</v>
      </c>
      <c r="G76" s="199"/>
    </row>
    <row r="77" customFormat="false" ht="13.15" hidden="false" customHeight="false" outlineLevel="0" collapsed="false">
      <c r="A77" s="200"/>
      <c r="E77" s="202" t="s">
        <v>120</v>
      </c>
      <c r="F77" s="199" t="n">
        <f aca="false">'Device Parmaters'!D15/'Device Parmaters'!D12*F76</f>
        <v>2.5</v>
      </c>
      <c r="G77" s="199" t="s">
        <v>105</v>
      </c>
    </row>
    <row r="78" customFormat="false" ht="13.15" hidden="false" customHeight="false" outlineLevel="0" collapsed="false">
      <c r="A78" s="200"/>
      <c r="E78" s="212" t="s">
        <v>237</v>
      </c>
      <c r="F78" s="220" t="n">
        <f aca="false">'Design Calculator'!F89</f>
        <v>10</v>
      </c>
      <c r="G78" s="199" t="s">
        <v>105</v>
      </c>
    </row>
    <row r="79" customFormat="false" ht="13.15" hidden="false" customHeight="false" outlineLevel="0" collapsed="false">
      <c r="A79" s="200"/>
      <c r="E79" s="208" t="s">
        <v>122</v>
      </c>
      <c r="F79" s="199" t="n">
        <f aca="false">'Device Parmaters'!D12/'Device Parmaters'!D15*F78</f>
        <v>1.6</v>
      </c>
      <c r="G79" s="199" t="s">
        <v>101</v>
      </c>
    </row>
    <row r="80" customFormat="false" ht="13.15" hidden="false" customHeight="false" outlineLevel="0" collapsed="false">
      <c r="A80" s="200"/>
      <c r="E80" s="212" t="s">
        <v>238</v>
      </c>
      <c r="F80" s="199" t="n">
        <f aca="false">SOA!C26</f>
        <v>774.15630764126</v>
      </c>
      <c r="G80" s="199" t="s">
        <v>56</v>
      </c>
    </row>
    <row r="81" customFormat="false" ht="13.15" hidden="false" customHeight="false" outlineLevel="0" collapsed="false">
      <c r="A81" s="200"/>
      <c r="E81" s="208" t="s">
        <v>235</v>
      </c>
      <c r="F81" s="199" t="n">
        <f aca="false">F80/F47</f>
        <v>1.53123563790808</v>
      </c>
      <c r="G81" s="199"/>
    </row>
    <row r="82" customFormat="false" ht="13.15" hidden="false" customHeight="false" outlineLevel="0" collapsed="false">
      <c r="A82" s="200"/>
      <c r="E82" s="202"/>
      <c r="F82" s="199"/>
      <c r="G82" s="199"/>
    </row>
    <row r="83" customFormat="false" ht="12.75" hidden="false" customHeight="false" outlineLevel="0" collapsed="false">
      <c r="E83" s="204"/>
      <c r="J83" s="221"/>
      <c r="M83" s="221"/>
    </row>
    <row r="84" customFormat="false" ht="12.75" hidden="false" customHeight="false" outlineLevel="0" collapsed="false">
      <c r="E84" s="202"/>
      <c r="J84" s="221"/>
      <c r="M84" s="221"/>
    </row>
    <row r="85" customFormat="false" ht="13.15" hidden="false" customHeight="false" outlineLevel="0" collapsed="false">
      <c r="E85" s="200" t="s">
        <v>239</v>
      </c>
      <c r="J85" s="199" t="s">
        <v>240</v>
      </c>
    </row>
    <row r="86" customFormat="false" ht="12.75" hidden="false" customHeight="false" outlineLevel="0" collapsed="false">
      <c r="E86" s="202" t="s">
        <v>126</v>
      </c>
      <c r="F86" s="0" t="n">
        <f aca="false">'Design Calculator'!F92</f>
        <v>30</v>
      </c>
      <c r="G86" s="199" t="s">
        <v>39</v>
      </c>
    </row>
    <row r="87" customFormat="false" ht="12.75" hidden="false" customHeight="false" outlineLevel="0" collapsed="false">
      <c r="E87" s="202" t="s">
        <v>128</v>
      </c>
      <c r="F87" s="0" t="n">
        <f aca="false">'Design Calculator'!F93</f>
        <v>10</v>
      </c>
      <c r="G87" s="199" t="s">
        <v>211</v>
      </c>
      <c r="J87" s="199" t="s">
        <v>241</v>
      </c>
    </row>
    <row r="88" customFormat="false" ht="12.75" hidden="false" customHeight="false" outlineLevel="0" collapsed="false">
      <c r="E88" s="202" t="s">
        <v>129</v>
      </c>
      <c r="F88" s="0" t="n">
        <f aca="false">'Design Calculator'!F94</f>
        <v>10</v>
      </c>
      <c r="G88" s="199" t="s">
        <v>211</v>
      </c>
    </row>
    <row r="89" customFormat="false" ht="12.75" hidden="false" customHeight="false" outlineLevel="0" collapsed="false">
      <c r="E89" s="202" t="s">
        <v>130</v>
      </c>
      <c r="F89" s="222" t="n">
        <f aca="false">F88*(-1+F86/'Device Parmaters'!D23)</f>
        <v>212.222222222222</v>
      </c>
      <c r="G89" s="199" t="s">
        <v>211</v>
      </c>
      <c r="J89" s="199" t="s">
        <v>242</v>
      </c>
    </row>
    <row r="90" customFormat="false" ht="12.75" hidden="false" customHeight="false" outlineLevel="0" collapsed="false">
      <c r="E90" s="202" t="s">
        <v>131</v>
      </c>
      <c r="F90" s="0" t="n">
        <f aca="false">'Design Calculator'!F96</f>
        <v>212</v>
      </c>
      <c r="G90" s="199" t="s">
        <v>211</v>
      </c>
    </row>
    <row r="91" customFormat="false" ht="12.75" hidden="false" customHeight="false" outlineLevel="0" collapsed="false">
      <c r="E91" s="204"/>
      <c r="F91" s="223"/>
      <c r="G91" s="223"/>
    </row>
    <row r="92" customFormat="false" ht="12.75" hidden="false" customHeight="false" outlineLevel="0" collapsed="false">
      <c r="E92" s="204"/>
      <c r="F92" s="223"/>
      <c r="G92" s="223"/>
    </row>
    <row r="93" customFormat="false" ht="13.5" hidden="false" customHeight="false" outlineLevel="0" collapsed="false">
      <c r="D93" s="224" t="s">
        <v>132</v>
      </c>
      <c r="E93" s="225" t="s">
        <v>133</v>
      </c>
      <c r="F93" s="225" t="s">
        <v>134</v>
      </c>
      <c r="G93" s="225" t="s">
        <v>135</v>
      </c>
    </row>
    <row r="94" customFormat="false" ht="13.15" hidden="false" customHeight="false" outlineLevel="0" collapsed="false">
      <c r="D94" s="226" t="s">
        <v>136</v>
      </c>
      <c r="E94" s="227" t="n">
        <f aca="false">($F$90+$F$88)/$F$88*'Device Parmaters'!C23</f>
        <v>29.304</v>
      </c>
      <c r="F94" s="227" t="n">
        <f aca="false">($F$90+$F$88)/$F$88*'Device Parmaters'!D23</f>
        <v>29.97</v>
      </c>
      <c r="G94" s="227" t="n">
        <f aca="false">($F$90+$F$88)/$F$88*'Device Parmaters'!E23</f>
        <v>30.636</v>
      </c>
    </row>
    <row r="95" customFormat="false" ht="12.75" hidden="false" customHeight="false" outlineLevel="0" collapsed="false">
      <c r="D95" s="226" t="s">
        <v>137</v>
      </c>
      <c r="E95" s="227" t="n">
        <f aca="false">($F$90+$F$88)/$F$88*'Device Parmaters'!C24</f>
        <v>27.084</v>
      </c>
      <c r="F95" s="227" t="n">
        <f aca="false">($F$90+$F$88)/$F$88*'Device Parmaters'!D24</f>
        <v>27.75</v>
      </c>
      <c r="G95" s="227" t="n">
        <f aca="false">($F$90+$F$88)/$F$88*'Device Parmaters'!E24</f>
        <v>28.416</v>
      </c>
    </row>
    <row r="96" customFormat="false" ht="12.75" hidden="false" customHeight="false" outlineLevel="0" collapsed="false">
      <c r="E96" s="228"/>
      <c r="F96" s="223"/>
      <c r="G96" s="223"/>
    </row>
    <row r="104" customFormat="false" ht="12.75" hidden="false" customHeight="false" outlineLevel="0" collapsed="false">
      <c r="E104" s="202"/>
      <c r="F104" s="199"/>
      <c r="G104" s="199"/>
    </row>
    <row r="105" customFormat="false" ht="12.75" hidden="false" customHeight="false" outlineLevel="0" collapsed="false">
      <c r="E105" s="202"/>
      <c r="F105" s="199"/>
      <c r="G105" s="199"/>
    </row>
    <row r="106" customFormat="false" ht="12.75" hidden="false" customHeight="false" outlineLevel="0" collapsed="false">
      <c r="E106" s="202"/>
      <c r="G106" s="199"/>
    </row>
    <row r="127" customFormat="false" ht="13.15" hidden="false" customHeight="false" outlineLevel="0" collapsed="false">
      <c r="C127" s="200" t="s">
        <v>243</v>
      </c>
    </row>
    <row r="128" customFormat="false" ht="12.75" hidden="false" customHeight="false" outlineLevel="0" collapsed="false">
      <c r="E128" s="204" t="s">
        <v>244</v>
      </c>
      <c r="F128" s="203" t="n">
        <f aca="false">'Design Calculator'!F40</f>
        <v>0.5</v>
      </c>
    </row>
    <row r="129" customFormat="false" ht="12.75" hidden="false" customHeight="false" outlineLevel="0" collapsed="false">
      <c r="E129" s="204" t="s">
        <v>245</v>
      </c>
      <c r="F129" s="203" t="n">
        <f aca="false">'Design Calculator'!F29</f>
        <v>50</v>
      </c>
    </row>
    <row r="131" customFormat="false" ht="12.75" hidden="false" customHeight="false" outlineLevel="0" collapsed="false">
      <c r="E131" s="204" t="s">
        <v>246</v>
      </c>
      <c r="F131" s="223" t="n">
        <f aca="false">F24</f>
        <v>90</v>
      </c>
    </row>
    <row r="132" customFormat="false" ht="12.75" hidden="false" customHeight="false" outlineLevel="0" collapsed="false">
      <c r="E132" s="204" t="s">
        <v>247</v>
      </c>
      <c r="F132" s="223" t="n">
        <f aca="false">F25</f>
        <v>100</v>
      </c>
    </row>
    <row r="133" customFormat="false" ht="12.75" hidden="false" customHeight="false" outlineLevel="0" collapsed="false">
      <c r="E133" s="204" t="s">
        <v>248</v>
      </c>
      <c r="F133" s="223" t="n">
        <f aca="false">F26</f>
        <v>110</v>
      </c>
    </row>
    <row r="135" customFormat="false" ht="12.75" hidden="false" customHeight="false" outlineLevel="0" collapsed="false">
      <c r="E135" s="204" t="s">
        <v>249</v>
      </c>
      <c r="F135" s="213" t="n">
        <f aca="false">'Design Calculator'!F67</f>
        <v>505.576208178439</v>
      </c>
    </row>
    <row r="136" customFormat="false" ht="12.75" hidden="false" customHeight="false" outlineLevel="0" collapsed="false">
      <c r="E136" s="204"/>
      <c r="F136" s="213"/>
    </row>
    <row r="138" customFormat="false" ht="12.75" hidden="false" customHeight="false" outlineLevel="0" collapsed="false">
      <c r="E138" s="204"/>
      <c r="F138" s="213"/>
    </row>
    <row r="143" customFormat="false" ht="12.75" hidden="false" customHeight="false" outlineLevel="0" collapsed="false">
      <c r="D143" s="0" t="s">
        <v>250</v>
      </c>
      <c r="E143" s="204"/>
      <c r="I143" s="0" t="s">
        <v>251</v>
      </c>
      <c r="N143" s="0" t="s">
        <v>252</v>
      </c>
      <c r="R143" s="199" t="s">
        <v>253</v>
      </c>
    </row>
    <row r="144" customFormat="false" ht="12.75" hidden="false" customHeight="false" outlineLevel="0" collapsed="false">
      <c r="D144" s="0" t="s">
        <v>254</v>
      </c>
      <c r="I144" s="0" t="s">
        <v>255</v>
      </c>
      <c r="N144" s="0" t="s">
        <v>256</v>
      </c>
      <c r="R144" s="199" t="s">
        <v>257</v>
      </c>
    </row>
    <row r="145" customFormat="false" ht="12.75" hidden="false" customHeight="false" outlineLevel="0" collapsed="false">
      <c r="B145" s="199" t="s">
        <v>258</v>
      </c>
      <c r="D145" s="229" t="s">
        <v>259</v>
      </c>
      <c r="E145" s="229" t="s">
        <v>161</v>
      </c>
      <c r="F145" s="230" t="s">
        <v>162</v>
      </c>
      <c r="G145" s="229" t="s">
        <v>163</v>
      </c>
      <c r="I145" s="229" t="s">
        <v>259</v>
      </c>
      <c r="J145" s="229" t="s">
        <v>161</v>
      </c>
      <c r="K145" s="229" t="s">
        <v>162</v>
      </c>
      <c r="L145" s="229" t="s">
        <v>163</v>
      </c>
      <c r="N145" s="0" t="s">
        <v>260</v>
      </c>
      <c r="R145" s="229" t="s">
        <v>259</v>
      </c>
      <c r="S145" s="229" t="s">
        <v>161</v>
      </c>
      <c r="T145" s="229" t="s">
        <v>162</v>
      </c>
      <c r="U145" s="229" t="s">
        <v>163</v>
      </c>
      <c r="V145" s="230" t="s">
        <v>261</v>
      </c>
      <c r="X145" s="231" t="s">
        <v>262</v>
      </c>
    </row>
    <row r="146" customFormat="false" ht="12.75" hidden="false" customHeight="false" outlineLevel="0" collapsed="false">
      <c r="B146" s="0" t="n">
        <f aca="false">D146*F146</f>
        <v>505.576208178439</v>
      </c>
      <c r="C146" s="229" t="n">
        <v>0.1</v>
      </c>
      <c r="D146" s="229" t="n">
        <f aca="false">C146/12*$F$129</f>
        <v>0.416666666666667</v>
      </c>
      <c r="E146" s="232" t="n">
        <f aca="false">(1-$F$169)*F146</f>
        <v>910.037174721189</v>
      </c>
      <c r="F146" s="232" t="n">
        <f aca="false">($F$135)/D146</f>
        <v>1213.38289962825</v>
      </c>
      <c r="G146" s="232" t="n">
        <f aca="false">F146*(1+$F$169)</f>
        <v>1516.72862453531</v>
      </c>
      <c r="I146" s="229" t="n">
        <f aca="false">D146</f>
        <v>0.416666666666667</v>
      </c>
      <c r="J146" s="232" t="n">
        <f aca="false">IF(E146&gt;$F$131,$F$131,E146)</f>
        <v>90</v>
      </c>
      <c r="K146" s="232" t="n">
        <f aca="false">IF(F146&gt;$F$132,$F$132,F146)</f>
        <v>100</v>
      </c>
      <c r="L146" s="232" t="n">
        <f aca="false">IF(G146&gt;$F$133,$F$133,G146)</f>
        <v>110</v>
      </c>
      <c r="N146" s="0" t="s">
        <v>263</v>
      </c>
      <c r="R146" s="229" t="n">
        <f aca="false">I146</f>
        <v>0.416666666666667</v>
      </c>
      <c r="S146" s="232" t="n">
        <f aca="false">IF($R146&gt;$F$129,0.0000000005,J146)</f>
        <v>90</v>
      </c>
      <c r="T146" s="232" t="n">
        <f aca="false">IF($R146&gt;$F$129,0.0000000005,K146)</f>
        <v>100</v>
      </c>
      <c r="U146" s="232" t="n">
        <f aca="false">IF($R146&gt;$F$129,0.0000000005,L146)</f>
        <v>110</v>
      </c>
      <c r="V146" s="232" t="n">
        <f aca="false">$X$146/R146</f>
        <v>1857.97513833902</v>
      </c>
      <c r="X146" s="0" t="n">
        <f aca="false">SOA!C26</f>
        <v>774.15630764126</v>
      </c>
      <c r="Y146" s="199" t="s">
        <v>56</v>
      </c>
    </row>
    <row r="147" customFormat="false" ht="12.75" hidden="false" customHeight="false" outlineLevel="0" collapsed="false">
      <c r="B147" s="0" t="n">
        <f aca="false">D147*F147</f>
        <v>505.576208178439</v>
      </c>
      <c r="C147" s="229" t="n">
        <v>1</v>
      </c>
      <c r="D147" s="229" t="n">
        <f aca="false">C147/12*$F$129</f>
        <v>4.16666666666667</v>
      </c>
      <c r="E147" s="232" t="n">
        <f aca="false">(1-$F$169)*F147</f>
        <v>91.0037174721189</v>
      </c>
      <c r="F147" s="232" t="n">
        <f aca="false">($F$135)/D147</f>
        <v>121.338289962825</v>
      </c>
      <c r="G147" s="232" t="n">
        <f aca="false">F147*(1+$F$169)</f>
        <v>151.672862453531</v>
      </c>
      <c r="I147" s="229" t="n">
        <f aca="false">D147</f>
        <v>4.16666666666667</v>
      </c>
      <c r="J147" s="232" t="n">
        <f aca="false">IF(E147&gt;$F$131,$F$131,E147)</f>
        <v>90</v>
      </c>
      <c r="K147" s="232" t="n">
        <f aca="false">IF(F147&gt;$F$132,$F$132,F147)</f>
        <v>100</v>
      </c>
      <c r="L147" s="232" t="n">
        <f aca="false">IF(G147&gt;$F$133,$F$133,G147)</f>
        <v>110</v>
      </c>
      <c r="R147" s="229" t="n">
        <f aca="false">I147</f>
        <v>4.16666666666667</v>
      </c>
      <c r="S147" s="232" t="n">
        <f aca="false">IF($R147&gt;$F$129,0.0000000005,J147)</f>
        <v>90</v>
      </c>
      <c r="T147" s="232" t="n">
        <f aca="false">IF($R147&gt;$F$129,0.0000000005,K147)</f>
        <v>100</v>
      </c>
      <c r="U147" s="232" t="n">
        <f aca="false">IF($R147&gt;$F$129,0.0000000005,L147)</f>
        <v>110</v>
      </c>
      <c r="V147" s="232" t="n">
        <f aca="false">$X$146/R147</f>
        <v>185.797513833902</v>
      </c>
    </row>
    <row r="148" customFormat="false" ht="12.75" hidden="false" customHeight="false" outlineLevel="0" collapsed="false">
      <c r="B148" s="0" t="n">
        <f aca="false">D148*F148</f>
        <v>505.576208178439</v>
      </c>
      <c r="C148" s="229" t="n">
        <v>2</v>
      </c>
      <c r="D148" s="229" t="n">
        <f aca="false">C148/12*$F$129</f>
        <v>8.33333333333333</v>
      </c>
      <c r="E148" s="232" t="n">
        <f aca="false">(1-$F$169)*F148</f>
        <v>45.5018587360595</v>
      </c>
      <c r="F148" s="232" t="n">
        <f aca="false">($F$135)/D148</f>
        <v>60.6691449814127</v>
      </c>
      <c r="G148" s="232" t="n">
        <f aca="false">F148*(1+$F$169)</f>
        <v>75.8364312267658</v>
      </c>
      <c r="I148" s="229" t="n">
        <f aca="false">D148</f>
        <v>8.33333333333333</v>
      </c>
      <c r="J148" s="232" t="n">
        <f aca="false">IF(E148&gt;$F$131,$F$131,E148)</f>
        <v>45.5018587360595</v>
      </c>
      <c r="K148" s="232" t="n">
        <f aca="false">IF(F148&gt;$F$132,$F$132,F148)</f>
        <v>60.6691449814127</v>
      </c>
      <c r="L148" s="232" t="n">
        <f aca="false">IF(G148&gt;$F$133,$F$133,G148)</f>
        <v>75.8364312267658</v>
      </c>
      <c r="O148" s="233" t="s">
        <v>264</v>
      </c>
      <c r="R148" s="229" t="n">
        <f aca="false">I148</f>
        <v>8.33333333333333</v>
      </c>
      <c r="S148" s="232" t="n">
        <f aca="false">IF($R148&gt;$F$129,0.0000000005,J148)</f>
        <v>45.5018587360595</v>
      </c>
      <c r="T148" s="232" t="n">
        <f aca="false">IF($R148&gt;$F$129,0.0000000005,K148)</f>
        <v>60.6691449814127</v>
      </c>
      <c r="U148" s="232" t="n">
        <f aca="false">IF($R148&gt;$F$129,0.0000000005,L148)</f>
        <v>75.8364312267658</v>
      </c>
      <c r="V148" s="232" t="n">
        <f aca="false">$X$146/R148</f>
        <v>92.8987569169512</v>
      </c>
    </row>
    <row r="149" customFormat="false" ht="12.75" hidden="false" customHeight="false" outlineLevel="0" collapsed="false">
      <c r="B149" s="0" t="n">
        <f aca="false">D149*F149</f>
        <v>505.576208178439</v>
      </c>
      <c r="C149" s="229" t="n">
        <v>3</v>
      </c>
      <c r="D149" s="229" t="n">
        <f aca="false">C149/12*$F$129</f>
        <v>12.5</v>
      </c>
      <c r="E149" s="232" t="n">
        <f aca="false">(1-$F$169)*F149</f>
        <v>30.3345724907063</v>
      </c>
      <c r="F149" s="232" t="n">
        <f aca="false">($F$135)/D149</f>
        <v>40.4460966542751</v>
      </c>
      <c r="G149" s="232" t="n">
        <f aca="false">F149*(1+$F$169)</f>
        <v>50.5576208178439</v>
      </c>
      <c r="I149" s="229" t="n">
        <f aca="false">D149</f>
        <v>12.5</v>
      </c>
      <c r="J149" s="232" t="n">
        <f aca="false">IF(E149&gt;$F$131,$F$131,E149)</f>
        <v>30.3345724907063</v>
      </c>
      <c r="K149" s="232" t="n">
        <f aca="false">IF(F149&gt;$F$132,$F$132,F149)</f>
        <v>40.4460966542751</v>
      </c>
      <c r="L149" s="232" t="n">
        <f aca="false">IF(G149&gt;$F$133,$F$133,G149)</f>
        <v>50.5576208178439</v>
      </c>
      <c r="N149" s="234" t="s">
        <v>259</v>
      </c>
      <c r="O149" s="235" t="s">
        <v>265</v>
      </c>
      <c r="R149" s="229" t="n">
        <f aca="false">I149</f>
        <v>12.5</v>
      </c>
      <c r="S149" s="232" t="n">
        <f aca="false">IF($R149&gt;$F$129,0.0000000005,J149)</f>
        <v>30.3345724907063</v>
      </c>
      <c r="T149" s="232" t="n">
        <f aca="false">IF($R149&gt;$F$129,0.0000000005,K149)</f>
        <v>40.4460966542751</v>
      </c>
      <c r="U149" s="232" t="n">
        <f aca="false">IF($R149&gt;$F$129,0.0000000005,L149)</f>
        <v>50.5576208178439</v>
      </c>
      <c r="V149" s="232" t="n">
        <f aca="false">$X$146/R149</f>
        <v>61.9325046113008</v>
      </c>
    </row>
    <row r="150" customFormat="false" ht="12.75" hidden="false" customHeight="false" outlineLevel="0" collapsed="false">
      <c r="B150" s="0" t="n">
        <f aca="false">D150*F150</f>
        <v>505.576208178439</v>
      </c>
      <c r="C150" s="229" t="n">
        <v>4</v>
      </c>
      <c r="D150" s="229" t="n">
        <f aca="false">C150/12*$F$129</f>
        <v>16.6666666666667</v>
      </c>
      <c r="E150" s="232" t="n">
        <f aca="false">(1-$F$169)*F150</f>
        <v>22.7509293680297</v>
      </c>
      <c r="F150" s="232" t="n">
        <f aca="false">($F$135)/D150</f>
        <v>30.3345724907063</v>
      </c>
      <c r="G150" s="232" t="n">
        <f aca="false">F150*(1+$F$169)</f>
        <v>37.9182156133828</v>
      </c>
      <c r="I150" s="229" t="n">
        <f aca="false">D150</f>
        <v>16.6666666666667</v>
      </c>
      <c r="J150" s="232" t="n">
        <f aca="false">IF(E150&gt;$F$131,$F$131,E150)</f>
        <v>22.7509293680297</v>
      </c>
      <c r="K150" s="232" t="n">
        <f aca="false">IF(F150&gt;$F$132,$F$132,F150)</f>
        <v>30.3345724907063</v>
      </c>
      <c r="L150" s="232" t="n">
        <f aca="false">IF(G150&gt;$F$133,$F$133,G150)</f>
        <v>37.9182156133828</v>
      </c>
      <c r="N150" s="229" t="n">
        <f aca="false">I146</f>
        <v>0.416666666666667</v>
      </c>
      <c r="O150" s="229" t="n">
        <f aca="false">SOA!C39</f>
        <v>774.15630764126</v>
      </c>
      <c r="P150" s="0" t="s">
        <v>266</v>
      </c>
      <c r="R150" s="229" t="n">
        <f aca="false">I150</f>
        <v>16.6666666666667</v>
      </c>
      <c r="S150" s="232" t="n">
        <f aca="false">IF($R150&gt;$F$129,0.0000000005,J150)</f>
        <v>22.7509293680297</v>
      </c>
      <c r="T150" s="232" t="n">
        <f aca="false">IF($R150&gt;$F$129,0.0000000005,K150)</f>
        <v>30.3345724907063</v>
      </c>
      <c r="U150" s="232" t="n">
        <f aca="false">IF($R150&gt;$F$129,0.0000000005,L150)</f>
        <v>37.9182156133828</v>
      </c>
      <c r="V150" s="232" t="n">
        <f aca="false">$X$146/R150</f>
        <v>46.4493784584755</v>
      </c>
    </row>
    <row r="151" customFormat="false" ht="12.75" hidden="false" customHeight="false" outlineLevel="0" collapsed="false">
      <c r="B151" s="0" t="n">
        <f aca="false">D151*F151</f>
        <v>505.576208178439</v>
      </c>
      <c r="C151" s="229" t="n">
        <v>5</v>
      </c>
      <c r="D151" s="229" t="n">
        <f aca="false">C151/12*$F$129</f>
        <v>20.8333333333333</v>
      </c>
      <c r="E151" s="232" t="n">
        <f aca="false">(1-$F$169)*F151</f>
        <v>18.2007434944238</v>
      </c>
      <c r="F151" s="232" t="n">
        <f aca="false">($F$135)/D151</f>
        <v>24.2676579925651</v>
      </c>
      <c r="G151" s="232" t="n">
        <f aca="false">F151*(1+$F$169)</f>
        <v>30.3345724907064</v>
      </c>
      <c r="I151" s="229" t="n">
        <f aca="false">D151</f>
        <v>20.8333333333333</v>
      </c>
      <c r="J151" s="232" t="n">
        <f aca="false">IF(E151&gt;$F$131,$F$131,E151)</f>
        <v>18.2007434944238</v>
      </c>
      <c r="K151" s="232" t="n">
        <f aca="false">IF(F151&gt;$F$132,$F$132,F151)</f>
        <v>24.2676579925651</v>
      </c>
      <c r="L151" s="232" t="n">
        <f aca="false">IF(G151&gt;$F$133,$F$133,G151)</f>
        <v>30.3345724907064</v>
      </c>
      <c r="N151" s="229" t="n">
        <f aca="false">I147</f>
        <v>4.16666666666667</v>
      </c>
      <c r="O151" s="232" t="n">
        <f aca="false">O154+((O150-O154)*3/7)</f>
        <v>700.42713548495</v>
      </c>
      <c r="R151" s="229" t="n">
        <f aca="false">I151</f>
        <v>20.8333333333333</v>
      </c>
      <c r="S151" s="232" t="n">
        <f aca="false">IF($R151&gt;$F$129,0.0000000005,J151)</f>
        <v>18.2007434944238</v>
      </c>
      <c r="T151" s="232" t="n">
        <f aca="false">IF($R151&gt;$F$129,0.0000000005,K151)</f>
        <v>24.2676579925651</v>
      </c>
      <c r="U151" s="232" t="n">
        <f aca="false">IF($R151&gt;$F$129,0.0000000005,L151)</f>
        <v>30.3345724907064</v>
      </c>
      <c r="V151" s="232" t="n">
        <f aca="false">$X$146/R151</f>
        <v>37.1595027667805</v>
      </c>
    </row>
    <row r="152" customFormat="false" ht="12.75" hidden="false" customHeight="false" outlineLevel="0" collapsed="false">
      <c r="B152" s="0" t="n">
        <f aca="false">D152*F152</f>
        <v>505.576208178439</v>
      </c>
      <c r="C152" s="229" t="n">
        <v>6</v>
      </c>
      <c r="D152" s="229" t="n">
        <f aca="false">C152/12*$F$129</f>
        <v>25</v>
      </c>
      <c r="E152" s="232" t="n">
        <f aca="false">(1-$F$169)*F152</f>
        <v>15.1672862453532</v>
      </c>
      <c r="F152" s="232" t="n">
        <f aca="false">($F$135)/D152</f>
        <v>20.2230483271375</v>
      </c>
      <c r="G152" s="232" t="n">
        <f aca="false">F152*(1+$F$169)</f>
        <v>25.2788104089219</v>
      </c>
      <c r="I152" s="229" t="n">
        <f aca="false">D152</f>
        <v>25</v>
      </c>
      <c r="J152" s="232" t="n">
        <f aca="false">IF(E152&gt;$F$131,$F$131,E152)</f>
        <v>15.1672862453532</v>
      </c>
      <c r="K152" s="232" t="n">
        <f aca="false">IF(F152&gt;$F$132,$F$132,F152)</f>
        <v>20.2230483271375</v>
      </c>
      <c r="L152" s="232" t="n">
        <f aca="false">IF(G152&gt;$F$133,$F$133,G152)</f>
        <v>25.2788104089219</v>
      </c>
      <c r="N152" s="229" t="n">
        <f aca="false">I148</f>
        <v>8.33333333333333</v>
      </c>
      <c r="O152" s="232" t="n">
        <f aca="false">O154+((O150-O154)*2/8)</f>
        <v>677.386769186103</v>
      </c>
      <c r="R152" s="229" t="n">
        <f aca="false">I152</f>
        <v>25</v>
      </c>
      <c r="S152" s="232" t="n">
        <f aca="false">IF($R152&gt;$F$129,0.0000000005,J152)</f>
        <v>15.1672862453532</v>
      </c>
      <c r="T152" s="232" t="n">
        <f aca="false">IF($R152&gt;$F$129,0.0000000005,K152)</f>
        <v>20.2230483271375</v>
      </c>
      <c r="U152" s="232" t="n">
        <f aca="false">IF($R152&gt;$F$129,0.0000000005,L152)</f>
        <v>25.2788104089219</v>
      </c>
      <c r="V152" s="232" t="n">
        <f aca="false">$X$146/R152</f>
        <v>30.9662523056504</v>
      </c>
    </row>
    <row r="153" customFormat="false" ht="12.75" hidden="false" customHeight="false" outlineLevel="0" collapsed="false">
      <c r="B153" s="0" t="n">
        <f aca="false">D153*F153</f>
        <v>505.576208178439</v>
      </c>
      <c r="C153" s="229" t="n">
        <v>7</v>
      </c>
      <c r="D153" s="229" t="n">
        <f aca="false">C153/12*$F$129</f>
        <v>29.1666666666667</v>
      </c>
      <c r="E153" s="232" t="n">
        <f aca="false">(1-$F$169)*F153</f>
        <v>13.0005310674456</v>
      </c>
      <c r="F153" s="232" t="n">
        <f aca="false">($F$135)/D153</f>
        <v>17.3340414232607</v>
      </c>
      <c r="G153" s="232" t="n">
        <f aca="false">F153*(1+$F$169)</f>
        <v>21.6675517790759</v>
      </c>
      <c r="I153" s="229" t="n">
        <f aca="false">D153</f>
        <v>29.1666666666667</v>
      </c>
      <c r="J153" s="232" t="n">
        <f aca="false">IF(E153&gt;$F$131,$F$131,E153)</f>
        <v>13.0005310674456</v>
      </c>
      <c r="K153" s="232" t="n">
        <f aca="false">IF(F153&gt;$F$132,$F$132,F153)</f>
        <v>17.3340414232607</v>
      </c>
      <c r="L153" s="232" t="n">
        <f aca="false">IF(G153&gt;$F$133,$F$133,G153)</f>
        <v>21.6675517790759</v>
      </c>
      <c r="N153" s="229" t="n">
        <f aca="false">I149</f>
        <v>12.5</v>
      </c>
      <c r="O153" s="232" t="n">
        <f aca="false">O154+((O150-O154)*1/9)</f>
        <v>659.466484286999</v>
      </c>
      <c r="R153" s="229" t="n">
        <f aca="false">I153</f>
        <v>29.1666666666667</v>
      </c>
      <c r="S153" s="232" t="n">
        <f aca="false">IF($R153&gt;$F$129,0.0000000005,J153)</f>
        <v>13.0005310674456</v>
      </c>
      <c r="T153" s="232" t="n">
        <f aca="false">IF($R153&gt;$F$129,0.0000000005,K153)</f>
        <v>17.3340414232607</v>
      </c>
      <c r="U153" s="232" t="n">
        <f aca="false">IF($R153&gt;$F$129,0.0000000005,L153)</f>
        <v>21.6675517790759</v>
      </c>
      <c r="V153" s="232" t="n">
        <f aca="false">$X$146/R153</f>
        <v>26.5425019762717</v>
      </c>
    </row>
    <row r="154" customFormat="false" ht="12.75" hidden="false" customHeight="false" outlineLevel="0" collapsed="false">
      <c r="B154" s="0" t="n">
        <f aca="false">D154*F154</f>
        <v>505.576208178439</v>
      </c>
      <c r="C154" s="229" t="n">
        <v>8</v>
      </c>
      <c r="D154" s="229" t="n">
        <f aca="false">C154/12*$F$129</f>
        <v>33.3333333333333</v>
      </c>
      <c r="E154" s="232" t="n">
        <f aca="false">(1-$F$169)*F154</f>
        <v>11.3754646840149</v>
      </c>
      <c r="F154" s="232" t="n">
        <f aca="false">($F$135)/D154</f>
        <v>15.1672862453532</v>
      </c>
      <c r="G154" s="232" t="n">
        <f aca="false">F154*(1+$F$169)</f>
        <v>18.9591078066915</v>
      </c>
      <c r="I154" s="229" t="n">
        <f aca="false">D154</f>
        <v>33.3333333333333</v>
      </c>
      <c r="J154" s="232" t="n">
        <f aca="false">IF(E154&gt;$F$131,$F$131,E154)</f>
        <v>11.3754646840149</v>
      </c>
      <c r="K154" s="232" t="n">
        <f aca="false">IF(F154&gt;$F$132,$F$132,F154)</f>
        <v>15.1672862453532</v>
      </c>
      <c r="L154" s="232" t="n">
        <f aca="false">IF(G154&gt;$F$133,$F$133,G154)</f>
        <v>18.9591078066915</v>
      </c>
      <c r="N154" s="229" t="n">
        <f aca="false">I150</f>
        <v>16.6666666666667</v>
      </c>
      <c r="O154" s="232" t="n">
        <f aca="false">SOA!C40</f>
        <v>645.130256367717</v>
      </c>
      <c r="P154" s="0" t="s">
        <v>267</v>
      </c>
      <c r="R154" s="229" t="n">
        <f aca="false">I154</f>
        <v>33.3333333333333</v>
      </c>
      <c r="S154" s="232" t="n">
        <f aca="false">IF($R154&gt;$F$129,0.0000000005,J154)</f>
        <v>11.3754646840149</v>
      </c>
      <c r="T154" s="232" t="n">
        <f aca="false">IF($R154&gt;$F$129,0.0000000005,K154)</f>
        <v>15.1672862453532</v>
      </c>
      <c r="U154" s="232" t="n">
        <f aca="false">IF($R154&gt;$F$129,0.0000000005,L154)</f>
        <v>18.9591078066915</v>
      </c>
      <c r="V154" s="232" t="n">
        <f aca="false">$X$146/R154</f>
        <v>23.2246892292378</v>
      </c>
    </row>
    <row r="155" customFormat="false" ht="12.75" hidden="false" customHeight="false" outlineLevel="0" collapsed="false">
      <c r="B155" s="0" t="n">
        <f aca="false">D155*F155</f>
        <v>505.576208178439</v>
      </c>
      <c r="C155" s="229" t="n">
        <v>9</v>
      </c>
      <c r="D155" s="229" t="n">
        <f aca="false">C155/12*$F$129</f>
        <v>37.5</v>
      </c>
      <c r="E155" s="232" t="n">
        <f aca="false">(1-$F$169)*F155</f>
        <v>10.1115241635688</v>
      </c>
      <c r="F155" s="232" t="n">
        <f aca="false">($F$135)/D155</f>
        <v>13.4820322180917</v>
      </c>
      <c r="G155" s="232" t="n">
        <f aca="false">F155*(1+$F$169)</f>
        <v>16.8525402726146</v>
      </c>
      <c r="I155" s="229" t="n">
        <f aca="false">D155</f>
        <v>37.5</v>
      </c>
      <c r="J155" s="232" t="n">
        <f aca="false">IF(E155&gt;$F$131,$F$131,E155)</f>
        <v>10.1115241635688</v>
      </c>
      <c r="K155" s="232" t="n">
        <f aca="false">IF(F155&gt;$F$132,$F$132,F155)</f>
        <v>13.4820322180917</v>
      </c>
      <c r="L155" s="232" t="n">
        <f aca="false">IF(G155&gt;$F$133,$F$133,G155)</f>
        <v>16.8525402726146</v>
      </c>
      <c r="N155" s="229" t="n">
        <f aca="false">I151</f>
        <v>20.8333333333333</v>
      </c>
      <c r="O155" s="232" t="n">
        <f aca="false">O$159+((O$154-O$159)*4/6)</f>
        <v>438.688574330047</v>
      </c>
      <c r="R155" s="229" t="n">
        <f aca="false">I155</f>
        <v>37.5</v>
      </c>
      <c r="S155" s="232" t="n">
        <f aca="false">IF($R155&gt;$F$129,0.0000000005,J155)</f>
        <v>10.1115241635688</v>
      </c>
      <c r="T155" s="232" t="n">
        <f aca="false">IF($R155&gt;$F$129,0.0000000005,K155)</f>
        <v>13.4820322180917</v>
      </c>
      <c r="U155" s="232" t="n">
        <f aca="false">IF($R155&gt;$F$129,0.0000000005,L155)</f>
        <v>16.8525402726146</v>
      </c>
      <c r="V155" s="232" t="n">
        <f aca="false">$X$146/R155</f>
        <v>20.6441682037669</v>
      </c>
    </row>
    <row r="156" customFormat="false" ht="12.75" hidden="false" customHeight="false" outlineLevel="0" collapsed="false">
      <c r="B156" s="0" t="n">
        <f aca="false">D156*F156</f>
        <v>505.576208178439</v>
      </c>
      <c r="C156" s="229" t="n">
        <v>10</v>
      </c>
      <c r="D156" s="229" t="n">
        <f aca="false">C156/12*$F$129</f>
        <v>41.6666666666667</v>
      </c>
      <c r="E156" s="232" t="n">
        <f aca="false">(1-$F$169)*F156</f>
        <v>9.10037174721189</v>
      </c>
      <c r="F156" s="232" t="n">
        <f aca="false">($F$135)/D156</f>
        <v>12.1338289962825</v>
      </c>
      <c r="G156" s="232" t="n">
        <f aca="false">F156*(1+$F$169)</f>
        <v>15.1672862453531</v>
      </c>
      <c r="I156" s="229" t="n">
        <f aca="false">D156</f>
        <v>41.6666666666667</v>
      </c>
      <c r="J156" s="232" t="n">
        <f aca="false">IF(E156&gt;$F$131,$F$131,E156)</f>
        <v>9.10037174721189</v>
      </c>
      <c r="K156" s="232" t="n">
        <f aca="false">IF(F156&gt;$F$132,$F$132,F156)</f>
        <v>12.1338289962825</v>
      </c>
      <c r="L156" s="232" t="n">
        <f aca="false">IF(G156&gt;$F$133,$F$133,G156)</f>
        <v>15.1672862453531</v>
      </c>
      <c r="N156" s="229" t="n">
        <f aca="false">I152</f>
        <v>25</v>
      </c>
      <c r="O156" s="232" t="n">
        <f aca="false">O$159+((O$154-O$159)*3/7)</f>
        <v>291.230230017426</v>
      </c>
      <c r="R156" s="229" t="n">
        <f aca="false">I156</f>
        <v>41.6666666666667</v>
      </c>
      <c r="S156" s="232" t="n">
        <f aca="false">IF($R156&gt;$F$129,0.0000000005,J156)</f>
        <v>9.10037174721189</v>
      </c>
      <c r="T156" s="232" t="n">
        <f aca="false">IF($R156&gt;$F$129,0.0000000005,K156)</f>
        <v>12.1338289962825</v>
      </c>
      <c r="U156" s="232" t="n">
        <f aca="false">IF($R156&gt;$F$129,0.0000000005,L156)</f>
        <v>15.1672862453531</v>
      </c>
      <c r="V156" s="232" t="n">
        <f aca="false">$X$146/R156</f>
        <v>18.5797513833902</v>
      </c>
    </row>
    <row r="157" customFormat="false" ht="12.75" hidden="false" customHeight="false" outlineLevel="0" collapsed="false">
      <c r="B157" s="0" t="n">
        <f aca="false">D157*F157</f>
        <v>505.576208178439</v>
      </c>
      <c r="C157" s="229" t="n">
        <v>11</v>
      </c>
      <c r="D157" s="229" t="n">
        <f aca="false">C157/12*$F$129</f>
        <v>45.8333333333333</v>
      </c>
      <c r="E157" s="232" t="n">
        <f aca="false">(1-$F$169)*F157</f>
        <v>8.27306522473809</v>
      </c>
      <c r="F157" s="232" t="n">
        <f aca="false">($F$135)/D157</f>
        <v>11.0307536329841</v>
      </c>
      <c r="G157" s="232" t="n">
        <f aca="false">F157*(1+$F$169)</f>
        <v>13.7884420412302</v>
      </c>
      <c r="I157" s="229" t="n">
        <f aca="false">D157</f>
        <v>45.8333333333333</v>
      </c>
      <c r="J157" s="232" t="n">
        <f aca="false">IF(E157&gt;$F$131,$F$131,E157)</f>
        <v>8.27306522473809</v>
      </c>
      <c r="K157" s="232" t="n">
        <f aca="false">IF(F157&gt;$F$132,$F$132,F157)</f>
        <v>11.0307536329841</v>
      </c>
      <c r="L157" s="232" t="n">
        <f aca="false">IF(G157&gt;$F$133,$F$133,G157)</f>
        <v>13.7884420412302</v>
      </c>
      <c r="N157" s="229" t="n">
        <f aca="false">I153</f>
        <v>29.1666666666667</v>
      </c>
      <c r="O157" s="232" t="n">
        <f aca="false">O$159+((O$154-O$159)*2/8)</f>
        <v>180.636471782961</v>
      </c>
      <c r="R157" s="229" t="n">
        <f aca="false">I157</f>
        <v>45.8333333333333</v>
      </c>
      <c r="S157" s="232" t="n">
        <f aca="false">IF($R157&gt;$F$129,0.0000000005,J157)</f>
        <v>8.27306522473809</v>
      </c>
      <c r="T157" s="232" t="n">
        <f aca="false">IF($R157&gt;$F$129,0.0000000005,K157)</f>
        <v>11.0307536329841</v>
      </c>
      <c r="U157" s="232" t="n">
        <f aca="false">IF($R157&gt;$F$129,0.0000000005,L157)</f>
        <v>13.7884420412302</v>
      </c>
      <c r="V157" s="232" t="n">
        <f aca="false">$X$146/R157</f>
        <v>16.8906830758093</v>
      </c>
    </row>
    <row r="158" customFormat="false" ht="12.75" hidden="false" customHeight="false" outlineLevel="0" collapsed="false">
      <c r="B158" s="0" t="n">
        <f aca="false">D158*F158</f>
        <v>505.576208178439</v>
      </c>
      <c r="C158" s="229" t="n">
        <v>12</v>
      </c>
      <c r="D158" s="229" t="n">
        <f aca="false">C158/12*$F$129</f>
        <v>50</v>
      </c>
      <c r="E158" s="232" t="n">
        <f aca="false">(1-$F$169)*F158</f>
        <v>7.58364312267658</v>
      </c>
      <c r="F158" s="232" t="n">
        <f aca="false">($F$135)/D158</f>
        <v>10.1115241635688</v>
      </c>
      <c r="G158" s="232" t="n">
        <f aca="false">F158*(1+$F$169)</f>
        <v>12.639405204461</v>
      </c>
      <c r="I158" s="229" t="n">
        <f aca="false">D158</f>
        <v>50</v>
      </c>
      <c r="J158" s="232" t="n">
        <f aca="false">IF(E158&gt;$F$131,$F$131,E158)</f>
        <v>7.58364312267658</v>
      </c>
      <c r="K158" s="232" t="n">
        <f aca="false">IF(F158&gt;$F$132,$F$132,F158)</f>
        <v>10.1115241635688</v>
      </c>
      <c r="L158" s="232" t="n">
        <f aca="false">IF(G158&gt;$F$133,$F$133,G158)</f>
        <v>12.639405204461</v>
      </c>
      <c r="N158" s="229" t="n">
        <f aca="false">I154</f>
        <v>33.3333333333333</v>
      </c>
      <c r="O158" s="232" t="n">
        <f aca="false">O$159+((O$154-O$159)*1/9)</f>
        <v>94.6191042672651</v>
      </c>
      <c r="R158" s="229" t="n">
        <f aca="false">I158</f>
        <v>50</v>
      </c>
      <c r="S158" s="232" t="n">
        <f aca="false">IF($R158&gt;$F$129,0.0000000005,J158)</f>
        <v>7.58364312267658</v>
      </c>
      <c r="T158" s="232" t="n">
        <f aca="false">IF($R158&gt;$F$129,0.0000000005,K158)</f>
        <v>10.1115241635688</v>
      </c>
      <c r="U158" s="232" t="n">
        <f aca="false">IF($R158&gt;$F$129,0.0000000005,L158)</f>
        <v>12.639405204461</v>
      </c>
      <c r="V158" s="232" t="n">
        <f aca="false">$X$146/R158</f>
        <v>15.4831261528252</v>
      </c>
    </row>
    <row r="159" customFormat="false" ht="12.75" hidden="false" customHeight="false" outlineLevel="0" collapsed="false">
      <c r="B159" s="0" t="n">
        <f aca="false">D159*F159</f>
        <v>505.576208178439</v>
      </c>
      <c r="C159" s="229" t="n">
        <v>13</v>
      </c>
      <c r="D159" s="229" t="n">
        <f aca="false">C159/12*$F$129</f>
        <v>54.1666666666667</v>
      </c>
      <c r="E159" s="232" t="n">
        <f aca="false">(1-$F$169)*F159</f>
        <v>7.00028595939376</v>
      </c>
      <c r="F159" s="232" t="n">
        <f aca="false">($F$135)/D159</f>
        <v>9.33371461252501</v>
      </c>
      <c r="G159" s="232" t="n">
        <f aca="false">F159*(1+$F$169)</f>
        <v>11.6671432656563</v>
      </c>
      <c r="I159" s="229" t="n">
        <f aca="false">D159</f>
        <v>54.1666666666667</v>
      </c>
      <c r="J159" s="232" t="n">
        <f aca="false">IF(E159&gt;$F$131,$F$131,E159)</f>
        <v>7.00028595939376</v>
      </c>
      <c r="K159" s="232" t="n">
        <f aca="false">IF(F159&gt;$F$132,$F$132,F159)</f>
        <v>9.33371461252501</v>
      </c>
      <c r="L159" s="232" t="n">
        <f aca="false">IF(G159&gt;$F$133,$F$133,G159)</f>
        <v>11.6671432656563</v>
      </c>
      <c r="N159" s="229" t="n">
        <f aca="false">I155</f>
        <v>37.5</v>
      </c>
      <c r="O159" s="232" t="n">
        <f aca="false">SOA!C41</f>
        <v>25.8052102547087</v>
      </c>
      <c r="P159" s="0" t="s">
        <v>267</v>
      </c>
      <c r="R159" s="229" t="n">
        <f aca="false">I159</f>
        <v>54.1666666666667</v>
      </c>
      <c r="S159" s="232" t="n">
        <f aca="false">IF($R159&gt;$F$129,0.0000000005,J159)</f>
        <v>5E-010</v>
      </c>
      <c r="T159" s="232" t="n">
        <f aca="false">IF($R159&gt;$F$129,0.0000000005,K159)</f>
        <v>5E-010</v>
      </c>
      <c r="U159" s="232" t="n">
        <f aca="false">IF($R159&gt;$F$129,0.0000000005,L159)</f>
        <v>5E-010</v>
      </c>
      <c r="V159" s="232" t="n">
        <f aca="false">$X$146/R159</f>
        <v>14.2921164487617</v>
      </c>
    </row>
    <row r="160" customFormat="false" ht="12.75" hidden="false" customHeight="false" outlineLevel="0" collapsed="false">
      <c r="B160" s="0" t="n">
        <f aca="false">D160*F160</f>
        <v>505.576208178439</v>
      </c>
      <c r="C160" s="229" t="n">
        <v>14</v>
      </c>
      <c r="D160" s="229" t="n">
        <f aca="false">C160/12*$F$129</f>
        <v>58.3333333333333</v>
      </c>
      <c r="E160" s="232" t="n">
        <f aca="false">(1-$F$169)*F160</f>
        <v>6.50026553372279</v>
      </c>
      <c r="F160" s="232" t="n">
        <f aca="false">($F$135)/D160</f>
        <v>8.66702071163038</v>
      </c>
      <c r="G160" s="232" t="n">
        <f aca="false">F160*(1+$F$169)</f>
        <v>10.833775889538</v>
      </c>
      <c r="I160" s="229" t="n">
        <f aca="false">D160</f>
        <v>58.3333333333333</v>
      </c>
      <c r="J160" s="232" t="n">
        <f aca="false">IF(E160&gt;$F$131,$F$131,E160)</f>
        <v>6.50026553372279</v>
      </c>
      <c r="K160" s="232" t="n">
        <f aca="false">IF(F160&gt;$F$132,$F$132,F160)</f>
        <v>8.66702071163038</v>
      </c>
      <c r="L160" s="232" t="n">
        <f aca="false">IF(G160&gt;$F$133,$F$133,G160)</f>
        <v>10.833775889538</v>
      </c>
      <c r="N160" s="229" t="n">
        <f aca="false">I156</f>
        <v>41.6666666666667</v>
      </c>
      <c r="O160" s="232" t="n">
        <f aca="false">O$164+((O$159-O$164)*4/6)</f>
        <v>17.2034735031391</v>
      </c>
      <c r="R160" s="229" t="n">
        <f aca="false">I160</f>
        <v>58.3333333333333</v>
      </c>
      <c r="S160" s="232" t="n">
        <f aca="false">IF($R160&gt;$F$129,0.0000000005,J160)</f>
        <v>5E-010</v>
      </c>
      <c r="T160" s="232" t="n">
        <f aca="false">IF($R160&gt;$F$129,0.0000000005,K160)</f>
        <v>5E-010</v>
      </c>
      <c r="U160" s="232" t="n">
        <f aca="false">IF($R160&gt;$F$129,0.0000000005,L160)</f>
        <v>5E-010</v>
      </c>
      <c r="V160" s="232" t="n">
        <f aca="false">$X$146/R160</f>
        <v>13.2712509881359</v>
      </c>
    </row>
    <row r="161" customFormat="false" ht="12.75" hidden="false" customHeight="false" outlineLevel="0" collapsed="false">
      <c r="B161" s="0" t="n">
        <f aca="false">D161*F161</f>
        <v>505.576208178439</v>
      </c>
      <c r="C161" s="229" t="n">
        <v>15</v>
      </c>
      <c r="D161" s="229" t="n">
        <f aca="false">C161/12*$F$129</f>
        <v>62.5</v>
      </c>
      <c r="E161" s="232" t="n">
        <f aca="false">(1-$F$169)*F161</f>
        <v>6.06691449814126</v>
      </c>
      <c r="F161" s="232" t="n">
        <f aca="false">($F$135)/D161</f>
        <v>8.08921933085502</v>
      </c>
      <c r="G161" s="232" t="n">
        <f aca="false">F161*(1+$F$169)</f>
        <v>10.1115241635688</v>
      </c>
      <c r="I161" s="229" t="n">
        <f aca="false">D161</f>
        <v>62.5</v>
      </c>
      <c r="J161" s="232" t="n">
        <f aca="false">IF(E161&gt;$F$131,$F$131,E161)</f>
        <v>6.06691449814126</v>
      </c>
      <c r="K161" s="232" t="n">
        <f aca="false">IF(F161&gt;$F$132,$F$132,F161)</f>
        <v>8.08921933085502</v>
      </c>
      <c r="L161" s="232" t="n">
        <f aca="false">IF(G161&gt;$F$133,$F$133,G161)</f>
        <v>10.1115241635688</v>
      </c>
      <c r="N161" s="229" t="n">
        <f aca="false">I157</f>
        <v>45.8333333333333</v>
      </c>
      <c r="O161" s="232" t="n">
        <f aca="false">O$164+((O$159-O$164)*3/7)</f>
        <v>11.0593758234466</v>
      </c>
      <c r="R161" s="229" t="n">
        <f aca="false">I161</f>
        <v>62.5</v>
      </c>
      <c r="S161" s="232" t="n">
        <f aca="false">IF($R161&gt;$F$129,0.0000000005,J161)</f>
        <v>5E-010</v>
      </c>
      <c r="T161" s="232" t="n">
        <f aca="false">IF($R161&gt;$F$129,0.0000000005,K161)</f>
        <v>5E-010</v>
      </c>
      <c r="U161" s="232" t="n">
        <f aca="false">IF($R161&gt;$F$129,0.0000000005,L161)</f>
        <v>5E-010</v>
      </c>
      <c r="V161" s="232" t="n">
        <f aca="false">$X$146/R161</f>
        <v>12.3865009222602</v>
      </c>
    </row>
    <row r="162" customFormat="false" ht="12.75" hidden="false" customHeight="false" outlineLevel="0" collapsed="false">
      <c r="B162" s="0" t="n">
        <f aca="false">D162*F162</f>
        <v>505.576208178439</v>
      </c>
      <c r="C162" s="229" t="n">
        <v>16</v>
      </c>
      <c r="D162" s="229" t="n">
        <f aca="false">C162/12*$F$129</f>
        <v>66.6666666666667</v>
      </c>
      <c r="E162" s="232" t="n">
        <f aca="false">(1-$F$169)*F162</f>
        <v>5.68773234200743</v>
      </c>
      <c r="F162" s="232" t="n">
        <f aca="false">($F$135)/D162</f>
        <v>7.58364312267658</v>
      </c>
      <c r="G162" s="232" t="n">
        <f aca="false">F162*(1+$F$169)</f>
        <v>9.47955390334572</v>
      </c>
      <c r="I162" s="229" t="n">
        <f aca="false">D162</f>
        <v>66.6666666666667</v>
      </c>
      <c r="J162" s="232" t="n">
        <f aca="false">IF(E162&gt;$F$131,$F$131,E162)</f>
        <v>5.68773234200743</v>
      </c>
      <c r="K162" s="232" t="n">
        <f aca="false">IF(F162&gt;$F$132,$F$132,F162)</f>
        <v>7.58364312267658</v>
      </c>
      <c r="L162" s="232" t="n">
        <f aca="false">IF(G162&gt;$F$133,$F$133,G162)</f>
        <v>9.47955390334572</v>
      </c>
      <c r="N162" s="229" t="n">
        <f aca="false">I158</f>
        <v>50</v>
      </c>
      <c r="O162" s="232" t="n">
        <f aca="false">O$164+((O$159-O$164)*2/8)</f>
        <v>6.45130256367717</v>
      </c>
      <c r="R162" s="229" t="n">
        <f aca="false">I162</f>
        <v>66.6666666666667</v>
      </c>
      <c r="S162" s="232" t="n">
        <f aca="false">IF($R162&gt;$F$129,0.0000000005,J162)</f>
        <v>5E-010</v>
      </c>
      <c r="T162" s="232" t="n">
        <f aca="false">IF($R162&gt;$F$129,0.0000000005,K162)</f>
        <v>5E-010</v>
      </c>
      <c r="U162" s="232" t="n">
        <f aca="false">IF($R162&gt;$F$129,0.0000000005,L162)</f>
        <v>5E-010</v>
      </c>
      <c r="V162" s="232" t="n">
        <f aca="false">$X$146/R162</f>
        <v>11.6123446146189</v>
      </c>
    </row>
    <row r="163" customFormat="false" ht="12.75" hidden="false" customHeight="false" outlineLevel="0" collapsed="false">
      <c r="N163" s="229" t="n">
        <f aca="false">I159</f>
        <v>54.1666666666667</v>
      </c>
      <c r="O163" s="232" t="n">
        <f aca="false">O$164+((O$159-O$164)*1/9)</f>
        <v>2.86724558385652</v>
      </c>
      <c r="R163" s="229"/>
      <c r="S163" s="232" t="n">
        <f aca="false">IF($R163&gt;$F$129,0.0000000005,J163)</f>
        <v>0</v>
      </c>
      <c r="T163" s="232" t="n">
        <f aca="false">IF($R163&gt;$F$129,0.0000000005,K163)</f>
        <v>0</v>
      </c>
      <c r="U163" s="232" t="n">
        <f aca="false">IF($R163&gt;$F$129,0.0000000005,L163)</f>
        <v>0</v>
      </c>
      <c r="V163" s="232" t="e">
        <f aca="false">$X$146/R163</f>
        <v>#DIV/0!</v>
      </c>
    </row>
    <row r="164" customFormat="false" ht="12.75" hidden="false" customHeight="false" outlineLevel="0" collapsed="false">
      <c r="D164" s="199" t="s">
        <v>268</v>
      </c>
      <c r="N164" s="229" t="n">
        <f aca="false">I160</f>
        <v>58.3333333333333</v>
      </c>
      <c r="O164" s="232" t="n">
        <f aca="false">SOA!C42</f>
        <v>0</v>
      </c>
      <c r="P164" s="0" t="s">
        <v>267</v>
      </c>
      <c r="R164" s="229"/>
      <c r="S164" s="232" t="n">
        <f aca="false">IF($R164&gt;$F$129,0.0000000005,J164)</f>
        <v>0</v>
      </c>
      <c r="T164" s="232" t="n">
        <f aca="false">IF($R164&gt;$F$129,0.0000000005,K164)</f>
        <v>0</v>
      </c>
      <c r="U164" s="232" t="n">
        <f aca="false">IF($R164&gt;$F$129,0.0000000005,L164)</f>
        <v>0</v>
      </c>
      <c r="V164" s="232" t="e">
        <f aca="false">$X$146/R164</f>
        <v>#DIV/0!</v>
      </c>
    </row>
    <row r="165" customFormat="false" ht="12.75" hidden="false" customHeight="false" outlineLevel="0" collapsed="false">
      <c r="N165" s="229" t="n">
        <f aca="false">I161</f>
        <v>62.5</v>
      </c>
      <c r="O165" s="232" t="n">
        <f aca="false">O$169+((O$164-O$169)*4/6)</f>
        <v>0</v>
      </c>
      <c r="R165" s="229"/>
      <c r="S165" s="232" t="n">
        <f aca="false">IF($R165&gt;$F$129,0.0000000005,J165)</f>
        <v>0</v>
      </c>
      <c r="T165" s="232" t="n">
        <f aca="false">IF($R165&gt;$F$129,0.0000000005,K165)</f>
        <v>0</v>
      </c>
      <c r="U165" s="232" t="n">
        <f aca="false">IF($R165&gt;$F$129,0.0000000005,L165)</f>
        <v>0</v>
      </c>
      <c r="V165" s="232" t="e">
        <f aca="false">$X$146/R165</f>
        <v>#DIV/0!</v>
      </c>
    </row>
    <row r="166" customFormat="false" ht="12.75" hidden="false" customHeight="false" outlineLevel="0" collapsed="false">
      <c r="D166" s="199" t="s">
        <v>269</v>
      </c>
      <c r="E166" s="0" t="e">
        <f aca="false">'device parmaters'!#ref!</f>
        <v>#VALUE!</v>
      </c>
      <c r="N166" s="229" t="n">
        <f aca="false">I162</f>
        <v>66.6666666666667</v>
      </c>
      <c r="O166" s="232" t="n">
        <f aca="false">O$169+((O$164-O$169)*3/7)</f>
        <v>0</v>
      </c>
    </row>
    <row r="167" customFormat="false" ht="12.75" hidden="false" customHeight="false" outlineLevel="0" collapsed="false">
      <c r="D167" s="199" t="s">
        <v>270</v>
      </c>
      <c r="E167" s="0" t="n">
        <f aca="false">RsEFF*0.001</f>
        <v>0.0005</v>
      </c>
      <c r="N167" s="229"/>
      <c r="O167" s="232"/>
    </row>
    <row r="168" customFormat="false" ht="12.75" hidden="false" customHeight="false" outlineLevel="0" collapsed="false">
      <c r="D168" s="199" t="s">
        <v>271</v>
      </c>
      <c r="E168" s="0" t="n">
        <f aca="false">VINMAX</f>
        <v>50</v>
      </c>
      <c r="N168" s="229"/>
      <c r="O168" s="232"/>
    </row>
    <row r="169" customFormat="false" ht="12.75" hidden="false" customHeight="false" outlineLevel="0" collapsed="false">
      <c r="D169" s="199" t="s">
        <v>272</v>
      </c>
      <c r="E169" s="203"/>
      <c r="F169" s="0" t="n">
        <v>0.25</v>
      </c>
      <c r="N169" s="229"/>
      <c r="O169" s="232"/>
    </row>
    <row r="171" customFormat="false" ht="12.75" hidden="false" customHeight="false" outlineLevel="0" collapsed="false">
      <c r="D171" s="236" t="s">
        <v>273</v>
      </c>
    </row>
  </sheetData>
  <mergeCells count="3">
    <mergeCell ref="D52:G52"/>
    <mergeCell ref="D61:G61"/>
    <mergeCell ref="D75:H7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5"/>
  <sheetViews>
    <sheetView showFormulas="false" showGridLines="true" showRowColHeaders="true" showZeros="true" rightToLeft="false" tabSelected="false" showOutlineSymbols="true" defaultGridColor="true" view="normal" topLeftCell="A5" colorId="64" zoomScale="85" zoomScaleNormal="85" zoomScalePageLayoutView="100" workbookViewId="0">
      <selection pane="topLeft" activeCell="J9" activeCellId="0" sqref="J9"/>
    </sheetView>
  </sheetViews>
  <sheetFormatPr defaultColWidth="9.13671875" defaultRowHeight="12.75" zeroHeight="false" outlineLevelRow="0" outlineLevelCol="0"/>
  <cols>
    <col collapsed="false" customWidth="true" hidden="false" outlineLevel="0" max="1" min="1" style="23" width="10.99"/>
    <col collapsed="false" customWidth="false" hidden="false" outlineLevel="0" max="3" min="2" style="23" width="9.13"/>
    <col collapsed="false" customWidth="true" hidden="false" outlineLevel="0" max="5" min="4" style="23" width="15"/>
    <col collapsed="false" customWidth="true" hidden="false" outlineLevel="0" max="6" min="6" style="23" width="15.4"/>
    <col collapsed="false" customWidth="true" hidden="false" outlineLevel="0" max="7" min="7" style="23" width="14.86"/>
    <col collapsed="false" customWidth="true" hidden="false" outlineLevel="0" max="8" min="8" style="23" width="10.73"/>
    <col collapsed="false" customWidth="true" hidden="false" outlineLevel="0" max="9" min="9" style="23" width="12.4"/>
    <col collapsed="false" customWidth="true" hidden="false" outlineLevel="0" max="10" min="10" style="23" width="14.86"/>
    <col collapsed="false" customWidth="true" hidden="false" outlineLevel="0" max="11" min="11" style="23" width="12.86"/>
    <col collapsed="false" customWidth="true" hidden="false" outlineLevel="0" max="12" min="12" style="23" width="14.28"/>
    <col collapsed="false" customWidth="true" hidden="false" outlineLevel="0" max="13" min="13" style="23" width="20.86"/>
    <col collapsed="false" customWidth="true" hidden="false" outlineLevel="0" max="14" min="14" style="23" width="12.71"/>
    <col collapsed="false" customWidth="true" hidden="false" outlineLevel="0" max="15" min="15" style="23" width="10.12"/>
    <col collapsed="false" customWidth="true" hidden="false" outlineLevel="0" max="16" min="16" style="23" width="18.86"/>
    <col collapsed="false" customWidth="true" hidden="false" outlineLevel="0" max="17" min="17" style="23" width="10.86"/>
    <col collapsed="false" customWidth="false" hidden="false" outlineLevel="0" max="1024" min="18" style="23" width="9.13"/>
  </cols>
  <sheetData>
    <row r="1" customFormat="false" ht="12.75" hidden="false" customHeight="false" outlineLevel="0" collapsed="false">
      <c r="B1" s="23" t="s">
        <v>258</v>
      </c>
      <c r="C1" s="23" t="s">
        <v>274</v>
      </c>
      <c r="D1" s="23" t="s">
        <v>275</v>
      </c>
      <c r="F1" s="237" t="s">
        <v>276</v>
      </c>
      <c r="G1" s="237" t="s">
        <v>277</v>
      </c>
      <c r="H1" s="237" t="s">
        <v>278</v>
      </c>
      <c r="I1" s="237" t="s">
        <v>279</v>
      </c>
      <c r="J1" s="237" t="s">
        <v>280</v>
      </c>
      <c r="K1" s="237"/>
      <c r="L1" s="237"/>
      <c r="M1" s="237" t="s">
        <v>281</v>
      </c>
      <c r="N1" s="237"/>
      <c r="O1" s="237" t="s">
        <v>282</v>
      </c>
      <c r="Q1" s="23" t="s">
        <v>283</v>
      </c>
      <c r="R1" s="23" t="s">
        <v>284</v>
      </c>
    </row>
    <row r="2" customFormat="false" ht="12.75" hidden="false" customHeight="false" outlineLevel="0" collapsed="false">
      <c r="B2" s="238" t="n">
        <f aca="false">'Design Calculator'!F67</f>
        <v>505.576208178439</v>
      </c>
      <c r="C2" s="23" t="n">
        <f aca="false">'Design Calculator'!F47</f>
        <v>100</v>
      </c>
      <c r="D2" s="23" t="str">
        <f aca="false">IF( 'Design Calculator'!F69 = "Constant Current", "CC", "R")</f>
        <v>CC</v>
      </c>
      <c r="F2" s="23" t="str">
        <f aca="false">'Design Calculator'!F71</f>
        <v>Yes</v>
      </c>
      <c r="G2" s="23" t="n">
        <f aca="false">'Design Calculator'!F70</f>
        <v>0.3</v>
      </c>
      <c r="H2" s="23" t="n">
        <f aca="false">'Design Calculator'!F68</f>
        <v>0</v>
      </c>
      <c r="I2" s="23" t="n">
        <f aca="false">RsEFF</f>
        <v>0.5</v>
      </c>
      <c r="J2" s="23" t="n">
        <v>0</v>
      </c>
      <c r="M2" s="238" t="n">
        <f aca="false">J114*1000</f>
        <v>61.3636363636363</v>
      </c>
      <c r="N2" s="23" t="s">
        <v>101</v>
      </c>
      <c r="O2" s="239" t="n">
        <f aca="false">MIN(L10:L111)</f>
        <v>0.915712799167534</v>
      </c>
      <c r="Q2" s="23" t="n">
        <f aca="false">'Device Parmaters'!E20/'Device Parmaters'!D20</f>
        <v>1.59090909090909</v>
      </c>
      <c r="R2" s="23" t="n">
        <f aca="false">'Device Parmaters'!C20/'Device Parmaters'!D20</f>
        <v>0.681818181818182</v>
      </c>
    </row>
    <row r="3" customFormat="false" ht="12.75" hidden="false" customHeight="false" outlineLevel="0" collapsed="false">
      <c r="B3" s="238"/>
      <c r="M3" s="238"/>
      <c r="O3" s="239"/>
    </row>
    <row r="4" customFormat="false" ht="12.75" hidden="false" customHeight="false" outlineLevel="0" collapsed="false">
      <c r="B4" s="238"/>
      <c r="D4" s="23" t="s">
        <v>285</v>
      </c>
      <c r="M4" s="238" t="s">
        <v>286</v>
      </c>
      <c r="N4" s="23" t="n">
        <f aca="false">MIN(M10:M114)</f>
        <v>1.1889405204461</v>
      </c>
      <c r="O4" s="239" t="s">
        <v>111</v>
      </c>
      <c r="P4" s="23" t="s">
        <v>287</v>
      </c>
      <c r="Q4" s="23" t="n">
        <f aca="false">MAX(O10:O114)</f>
        <v>177.962962962963</v>
      </c>
      <c r="R4" s="23" t="s">
        <v>56</v>
      </c>
    </row>
    <row r="5" customFormat="false" ht="12.75" hidden="false" customHeight="false" outlineLevel="0" collapsed="false">
      <c r="B5" s="238"/>
      <c r="M5" s="23" t="s">
        <v>288</v>
      </c>
      <c r="N5" s="23" t="n">
        <f aca="false">SUM(N10:N114)</f>
        <v>5.40772508741259</v>
      </c>
      <c r="O5" s="239" t="s">
        <v>231</v>
      </c>
      <c r="P5" s="23" t="s">
        <v>289</v>
      </c>
      <c r="Q5" s="23" t="n">
        <f aca="false">MAX(P10:P114)</f>
        <v>274.259259259259</v>
      </c>
      <c r="R5" s="23" t="s">
        <v>56</v>
      </c>
    </row>
    <row r="6" customFormat="false" ht="12.75" hidden="false" customHeight="false" outlineLevel="0" collapsed="false">
      <c r="P6" s="23" t="s">
        <v>290</v>
      </c>
      <c r="Q6" s="23" t="n">
        <f aca="false">MAX(Q10:Q114)</f>
        <v>126.111111111111</v>
      </c>
      <c r="R6" s="23" t="s">
        <v>56</v>
      </c>
    </row>
    <row r="7" customFormat="false" ht="13.15" hidden="false" customHeight="false" outlineLevel="0" collapsed="false">
      <c r="A7" s="240" t="s">
        <v>291</v>
      </c>
      <c r="B7" s="241" t="s">
        <v>292</v>
      </c>
      <c r="C7" s="241" t="s">
        <v>293</v>
      </c>
      <c r="D7" s="241" t="s">
        <v>258</v>
      </c>
      <c r="E7" s="241" t="s">
        <v>294</v>
      </c>
      <c r="F7" s="241" t="s">
        <v>295</v>
      </c>
      <c r="G7" s="241" t="s">
        <v>296</v>
      </c>
      <c r="H7" s="241" t="s">
        <v>297</v>
      </c>
      <c r="I7" s="242" t="s">
        <v>298</v>
      </c>
      <c r="J7" s="243" t="s">
        <v>299</v>
      </c>
      <c r="K7" s="243" t="s">
        <v>300</v>
      </c>
      <c r="L7" s="240" t="s">
        <v>301</v>
      </c>
      <c r="M7" s="240" t="s">
        <v>302</v>
      </c>
      <c r="N7" s="240" t="s">
        <v>303</v>
      </c>
      <c r="O7" s="240" t="s">
        <v>304</v>
      </c>
      <c r="P7" s="23" t="s">
        <v>305</v>
      </c>
      <c r="Q7" s="23" t="s">
        <v>306</v>
      </c>
    </row>
    <row r="8" customFormat="false" ht="13.15" hidden="false" customHeight="false" outlineLevel="0" collapsed="false">
      <c r="A8" s="240"/>
      <c r="B8" s="241"/>
      <c r="C8" s="241"/>
      <c r="D8" s="241"/>
      <c r="E8" s="241"/>
      <c r="F8" s="241"/>
      <c r="G8" s="241"/>
      <c r="H8" s="241"/>
      <c r="I8" s="241"/>
      <c r="J8" s="243"/>
      <c r="K8" s="244" t="n">
        <v>-10</v>
      </c>
      <c r="L8" s="240"/>
      <c r="M8" s="240"/>
      <c r="N8" s="240"/>
      <c r="O8" s="23" t="n">
        <v>0</v>
      </c>
    </row>
    <row r="9" customFormat="false" ht="13.15" hidden="false" customHeight="false" outlineLevel="0" collapsed="false">
      <c r="A9" s="240"/>
      <c r="B9" s="241"/>
      <c r="C9" s="241"/>
      <c r="D9" s="241"/>
      <c r="E9" s="241"/>
      <c r="F9" s="241"/>
      <c r="G9" s="241"/>
      <c r="H9" s="241"/>
      <c r="I9" s="241"/>
      <c r="J9" s="243"/>
      <c r="K9" s="245" t="n">
        <v>-0.01</v>
      </c>
      <c r="L9" s="240"/>
      <c r="M9" s="240"/>
      <c r="N9" s="240"/>
      <c r="O9" s="23" t="n">
        <v>0</v>
      </c>
    </row>
    <row r="10" customFormat="false" ht="12.75" hidden="false" customHeight="false" outlineLevel="0" collapsed="false">
      <c r="A10" s="23" t="n">
        <f aca="false">VINMAX</f>
        <v>50</v>
      </c>
      <c r="B10" s="246" t="n">
        <f aca="false">VINMAX*((ROW()-10)/104)</f>
        <v>0</v>
      </c>
      <c r="C10" s="247" t="n">
        <f aca="false">IF(B10&gt;=$H$2,IF($D$2="CC", $G$2, B10/$G$2), 0)</f>
        <v>0.3</v>
      </c>
      <c r="D10" s="248" t="n">
        <f aca="false">$B$2-B10*$J$2/($I$2*0.001)</f>
        <v>505.576208178439</v>
      </c>
      <c r="E10" s="248" t="n">
        <f aca="false">MIN(D10/(A10-B10),$C$2)</f>
        <v>10.1115241635688</v>
      </c>
      <c r="F10" s="247" t="n">
        <f aca="false">I_Cout_ss+C10</f>
        <v>3.55925925925926</v>
      </c>
      <c r="G10" s="248" t="n">
        <f aca="false">IF($F$2="YES", F10, E10)</f>
        <v>3.55925925925926</v>
      </c>
      <c r="H10" s="247" t="n">
        <f aca="false">G10-C10</f>
        <v>3.25925925925926</v>
      </c>
      <c r="I10" s="249" t="n">
        <f aca="false">(COUTMAX/1000000)*(B10)/H10</f>
        <v>0</v>
      </c>
      <c r="J10" s="250" t="n">
        <f aca="false">I10</f>
        <v>0</v>
      </c>
      <c r="K10" s="244" t="n">
        <f aca="false">J10*1000</f>
        <v>0</v>
      </c>
      <c r="L10" s="239" t="n">
        <f aca="false">H10/G10</f>
        <v>0.915712799167534</v>
      </c>
      <c r="M10" s="23" t="n">
        <f aca="false">1/COUTMAX*(E10/2-C10)*1000</f>
        <v>1.1889405204461</v>
      </c>
      <c r="N10" s="23" t="n">
        <f aca="false">I10*G10*(A10-B10)</f>
        <v>0</v>
      </c>
      <c r="O10" s="23" t="n">
        <f aca="false">G10*(A10-B10)</f>
        <v>177.962962962963</v>
      </c>
      <c r="P10" s="23" t="n">
        <f aca="false">(A10-B10)*(I_Cout_ss*$Q$2+C10)</f>
        <v>274.259259259259</v>
      </c>
      <c r="Q10" s="23" t="n">
        <f aca="false">(A10-B10)*(I_Cout_ss*$R$2+C10)</f>
        <v>126.111111111111</v>
      </c>
    </row>
    <row r="11" customFormat="false" ht="12.75" hidden="false" customHeight="false" outlineLevel="0" collapsed="false">
      <c r="A11" s="23" t="n">
        <f aca="false">VINMAX</f>
        <v>50</v>
      </c>
      <c r="B11" s="246" t="n">
        <f aca="false">VINMAX*((ROW()-10)/104)</f>
        <v>0.480769230769231</v>
      </c>
      <c r="C11" s="247" t="n">
        <f aca="false">IF(B11&gt;=$H$2,IF($D$2="CC", $G$2, B11/$G$2), 0)</f>
        <v>0.3</v>
      </c>
      <c r="D11" s="248" t="n">
        <f aca="false">$B$2-B11*$J$2/($I$2*0.001)</f>
        <v>505.576208178439</v>
      </c>
      <c r="E11" s="248" t="n">
        <f aca="false">MIN(D11/(A11-B11),$C$2)</f>
        <v>10.2096943010792</v>
      </c>
      <c r="F11" s="247" t="n">
        <f aca="false">I_Cout_ss+C11</f>
        <v>3.55925925925926</v>
      </c>
      <c r="G11" s="248" t="n">
        <f aca="false">IF($F$2="YES", F11, E11)</f>
        <v>3.55925925925926</v>
      </c>
      <c r="H11" s="247" t="n">
        <f aca="false">G11-C11</f>
        <v>3.25925925925926</v>
      </c>
      <c r="I11" s="249" t="n">
        <f aca="false">(COUTMAX/1000000)*(B11-B10)/H11</f>
        <v>0.000590034965034965</v>
      </c>
      <c r="J11" s="250" t="n">
        <f aca="false">J10+I11</f>
        <v>0.000590034965034965</v>
      </c>
      <c r="K11" s="244" t="n">
        <f aca="false">J11*1000</f>
        <v>0.590034965034965</v>
      </c>
      <c r="L11" s="239" t="n">
        <f aca="false">H11/G11</f>
        <v>0.915712799167534</v>
      </c>
      <c r="M11" s="23" t="n">
        <f aca="false">1/COUTMAX*(E11/2-C11)*1000</f>
        <v>1.20121178763489</v>
      </c>
      <c r="N11" s="23" t="n">
        <f aca="false">I11*G11*(A11-B11)</f>
        <v>0.103994713219473</v>
      </c>
      <c r="O11" s="23" t="n">
        <f aca="false">G11*(A11-B11)</f>
        <v>176.251780626781</v>
      </c>
      <c r="P11" s="23" t="n">
        <f aca="false">(A11-B11)*(I_Cout_ss*$Q$2+C11)</f>
        <v>271.622150997151</v>
      </c>
      <c r="Q11" s="23" t="n">
        <f aca="false">(A11-B11)*(I_Cout_ss*$R$2+C11)</f>
        <v>124.898504273504</v>
      </c>
    </row>
    <row r="12" customFormat="false" ht="13.15" hidden="false" customHeight="false" outlineLevel="0" collapsed="false">
      <c r="A12" s="23" t="n">
        <f aca="false">VINMAX</f>
        <v>50</v>
      </c>
      <c r="B12" s="246" t="n">
        <f aca="false">VINMAX*((ROW()-10)/104)</f>
        <v>0.961538461538462</v>
      </c>
      <c r="C12" s="247" t="n">
        <f aca="false">IF(B12&gt;=$H$2,IF($D$2="CC", $G$2, B12/$G$2), 0)</f>
        <v>0.3</v>
      </c>
      <c r="D12" s="248" t="n">
        <f aca="false">$B$2-B12*$J$2/($I$2*0.001)</f>
        <v>505.576208178439</v>
      </c>
      <c r="E12" s="248" t="n">
        <f aca="false">MIN(D12/(A12-B12),$C$2)</f>
        <v>10.3097893432466</v>
      </c>
      <c r="F12" s="247" t="n">
        <f aca="false">I_Cout_ss+C12</f>
        <v>3.55925925925926</v>
      </c>
      <c r="G12" s="248" t="n">
        <f aca="false">IF($F$2="YES", F12, E12)</f>
        <v>3.55925925925926</v>
      </c>
      <c r="H12" s="247" t="n">
        <f aca="false">G12-C12</f>
        <v>3.25925925925926</v>
      </c>
      <c r="I12" s="249" t="n">
        <f aca="false">(COUTMAX/1000000)*(B12-B11)/H12</f>
        <v>0.000590034965034965</v>
      </c>
      <c r="J12" s="250" t="n">
        <f aca="false">J11+I12</f>
        <v>0.00118006993006993</v>
      </c>
      <c r="K12" s="244" t="n">
        <f aca="false">J12*1000</f>
        <v>1.18006993006993</v>
      </c>
      <c r="L12" s="239" t="n">
        <f aca="false">H12/G12</f>
        <v>0.915712799167534</v>
      </c>
      <c r="M12" s="23" t="n">
        <f aca="false">1/COUTMAX*(E12/2-C12)*1000</f>
        <v>1.21372366790582</v>
      </c>
      <c r="N12" s="23" t="n">
        <f aca="false">I12*G12*(A12-B12)</f>
        <v>0.102985055809575</v>
      </c>
      <c r="O12" s="23" t="n">
        <f aca="false">G12*(A12-B12)</f>
        <v>174.540598290598</v>
      </c>
      <c r="P12" s="23" t="n">
        <f aca="false">(A12-B12)*(I_Cout_ss*$Q$2+C12)</f>
        <v>268.985042735043</v>
      </c>
      <c r="Q12" s="23" t="n">
        <f aca="false">(A12-B12)*(I_Cout_ss*$R$2+C12)</f>
        <v>123.685897435897</v>
      </c>
      <c r="X12" s="251" t="s">
        <v>307</v>
      </c>
      <c r="Y12" s="251"/>
    </row>
    <row r="13" customFormat="false" ht="12.75" hidden="false" customHeight="false" outlineLevel="0" collapsed="false">
      <c r="A13" s="23" t="n">
        <f aca="false">VINMAX</f>
        <v>50</v>
      </c>
      <c r="B13" s="246" t="n">
        <f aca="false">VINMAX*((ROW()-10)/104)</f>
        <v>1.44230769230769</v>
      </c>
      <c r="C13" s="247" t="n">
        <f aca="false">IF(B13&gt;=$H$2,IF($D$2="CC", $G$2, B13/$G$2), 0)</f>
        <v>0.3</v>
      </c>
      <c r="D13" s="248" t="n">
        <f aca="false">$B$2-B13*$J$2/($I$2*0.001)</f>
        <v>505.576208178439</v>
      </c>
      <c r="E13" s="248" t="n">
        <f aca="false">MIN(D13/(A13-B13),$C$2)</f>
        <v>10.411866465457</v>
      </c>
      <c r="F13" s="247" t="n">
        <f aca="false">I_Cout_ss+C13</f>
        <v>3.55925925925926</v>
      </c>
      <c r="G13" s="248" t="n">
        <f aca="false">IF($F$2="YES", F13, E13)</f>
        <v>3.55925925925926</v>
      </c>
      <c r="H13" s="247" t="n">
        <f aca="false">G13-C13</f>
        <v>3.25925925925926</v>
      </c>
      <c r="I13" s="249" t="n">
        <f aca="false">(COUTMAX/1000000)*(B13-B12)/H13</f>
        <v>0.000590034965034962</v>
      </c>
      <c r="J13" s="250" t="n">
        <f aca="false">J12+I13</f>
        <v>0.00177010489510489</v>
      </c>
      <c r="K13" s="244" t="n">
        <f aca="false">J13*1000</f>
        <v>1.77010489510489</v>
      </c>
      <c r="L13" s="239" t="n">
        <f aca="false">H13/G13</f>
        <v>0.915712799167534</v>
      </c>
      <c r="M13" s="23" t="n">
        <f aca="false">1/COUTMAX*(E13/2-C13)*1000</f>
        <v>1.22648330818212</v>
      </c>
      <c r="N13" s="23" t="n">
        <f aca="false">I13*G13*(A13-B13)</f>
        <v>0.101975398399677</v>
      </c>
      <c r="O13" s="23" t="n">
        <f aca="false">G13*(A13-B13)</f>
        <v>172.829415954416</v>
      </c>
      <c r="P13" s="23" t="n">
        <f aca="false">(A13-B13)*(I_Cout_ss*$Q$2+C13)</f>
        <v>266.347934472934</v>
      </c>
      <c r="Q13" s="23" t="n">
        <f aca="false">(A13-B13)*(I_Cout_ss*$R$2+C13)</f>
        <v>122.473290598291</v>
      </c>
      <c r="X13" s="252" t="s">
        <v>308</v>
      </c>
      <c r="Y13" s="253" t="n">
        <v>0.3</v>
      </c>
    </row>
    <row r="14" customFormat="false" ht="12.75" hidden="false" customHeight="false" outlineLevel="0" collapsed="false">
      <c r="A14" s="23" t="n">
        <f aca="false">VINMAX</f>
        <v>50</v>
      </c>
      <c r="B14" s="246" t="n">
        <f aca="false">VINMAX*((ROW()-10)/104)</f>
        <v>1.92307692307692</v>
      </c>
      <c r="C14" s="247" t="n">
        <f aca="false">IF(B14&gt;=$H$2,IF($D$2="CC", $G$2, B14/$G$2), 0)</f>
        <v>0.3</v>
      </c>
      <c r="D14" s="248" t="n">
        <f aca="false">$B$2-B14*$J$2/($I$2*0.001)</f>
        <v>505.576208178439</v>
      </c>
      <c r="E14" s="248" t="n">
        <f aca="false">MIN(D14/(A14-B14),$C$2)</f>
        <v>10.5159851301115</v>
      </c>
      <c r="F14" s="247" t="n">
        <f aca="false">I_Cout_ss+C14</f>
        <v>3.55925925925926</v>
      </c>
      <c r="G14" s="248" t="n">
        <f aca="false">IF($F$2="YES", F14, E14)</f>
        <v>3.55925925925926</v>
      </c>
      <c r="H14" s="247" t="n">
        <f aca="false">G14-C14</f>
        <v>3.25925925925926</v>
      </c>
      <c r="I14" s="249" t="n">
        <f aca="false">(COUTMAX/1000000)*(B14-B13)/H14</f>
        <v>0.000590034965034964</v>
      </c>
      <c r="J14" s="250" t="n">
        <f aca="false">J13+I14</f>
        <v>0.00236013986013986</v>
      </c>
      <c r="K14" s="244" t="n">
        <f aca="false">J14*1000</f>
        <v>2.36013986013986</v>
      </c>
      <c r="L14" s="239" t="n">
        <f aca="false">H14/G14</f>
        <v>0.915712799167534</v>
      </c>
      <c r="M14" s="23" t="n">
        <f aca="false">1/COUTMAX*(E14/2-C14)*1000</f>
        <v>1.23949814126394</v>
      </c>
      <c r="N14" s="23" t="n">
        <f aca="false">I14*G14*(A14-B14)</f>
        <v>0.100965740989779</v>
      </c>
      <c r="O14" s="23" t="n">
        <f aca="false">G14*(A14-B14)</f>
        <v>171.118233618234</v>
      </c>
      <c r="P14" s="23" t="n">
        <f aca="false">(A14-B14)*(I_Cout_ss*$Q$2+C14)</f>
        <v>263.710826210826</v>
      </c>
      <c r="Q14" s="23" t="n">
        <f aca="false">(A14-B14)*(I_Cout_ss*$R$2+C14)</f>
        <v>121.260683760684</v>
      </c>
      <c r="X14" s="252" t="s">
        <v>309</v>
      </c>
      <c r="Y14" s="253" t="n">
        <v>0.3</v>
      </c>
    </row>
    <row r="15" customFormat="false" ht="12.75" hidden="false" customHeight="false" outlineLevel="0" collapsed="false">
      <c r="A15" s="23" t="n">
        <f aca="false">VINMAX</f>
        <v>50</v>
      </c>
      <c r="B15" s="246" t="n">
        <f aca="false">VINMAX*((ROW()-10)/104)</f>
        <v>2.40384615384615</v>
      </c>
      <c r="C15" s="247" t="n">
        <f aca="false">IF(B15&gt;=$H$2,IF($D$2="CC", $G$2, B15/$G$2), 0)</f>
        <v>0.3</v>
      </c>
      <c r="D15" s="248" t="n">
        <f aca="false">$B$2-B15*$J$2/($I$2*0.001)</f>
        <v>505.576208178439</v>
      </c>
      <c r="E15" s="248" t="n">
        <f aca="false">MIN(D15/(A15-B15),$C$2)</f>
        <v>10.6222072021329</v>
      </c>
      <c r="F15" s="247" t="n">
        <f aca="false">I_Cout_ss+C15</f>
        <v>3.55925925925926</v>
      </c>
      <c r="G15" s="248" t="n">
        <f aca="false">IF($F$2="YES", F15, E15)</f>
        <v>3.55925925925926</v>
      </c>
      <c r="H15" s="247" t="n">
        <f aca="false">G15-C15</f>
        <v>3.25925925925926</v>
      </c>
      <c r="I15" s="249" t="n">
        <f aca="false">(COUTMAX/1000000)*(B15-B14)/H15</f>
        <v>0.000590034965034964</v>
      </c>
      <c r="J15" s="250" t="n">
        <f aca="false">J14+I15</f>
        <v>0.00295017482517482</v>
      </c>
      <c r="K15" s="244" t="n">
        <f aca="false">J15*1000</f>
        <v>2.95017482517482</v>
      </c>
      <c r="L15" s="239" t="n">
        <f aca="false">H15/G15</f>
        <v>0.915712799167534</v>
      </c>
      <c r="M15" s="23" t="n">
        <f aca="false">1/COUTMAX*(E15/2-C15)*1000</f>
        <v>1.25277590026661</v>
      </c>
      <c r="N15" s="23" t="n">
        <f aca="false">I15*G15*(A15-B15)</f>
        <v>0.0999560835798815</v>
      </c>
      <c r="O15" s="23" t="n">
        <f aca="false">G15*(A15-B15)</f>
        <v>169.407051282051</v>
      </c>
      <c r="P15" s="23" t="n">
        <f aca="false">(A15-B15)*(I_Cout_ss*$Q$2+C15)</f>
        <v>261.073717948718</v>
      </c>
      <c r="Q15" s="23" t="n">
        <f aca="false">(A15-B15)*(I_Cout_ss*$R$2+C15)</f>
        <v>120.048076923077</v>
      </c>
      <c r="X15" s="252" t="s">
        <v>310</v>
      </c>
      <c r="Y15" s="253" t="n">
        <f aca="false">SQRT(Y14^2+Y13^2)</f>
        <v>0.424264068711929</v>
      </c>
    </row>
    <row r="16" customFormat="false" ht="12.75" hidden="false" customHeight="false" outlineLevel="0" collapsed="false">
      <c r="A16" s="23" t="n">
        <f aca="false">VINMAX</f>
        <v>50</v>
      </c>
      <c r="B16" s="246" t="n">
        <f aca="false">VINMAX*((ROW()-10)/104)</f>
        <v>2.88461538461538</v>
      </c>
      <c r="C16" s="247" t="n">
        <f aca="false">IF(B16&gt;=$H$2,IF($D$2="CC", $G$2, B16/$G$2), 0)</f>
        <v>0.3</v>
      </c>
      <c r="D16" s="248" t="n">
        <f aca="false">$B$2-B16*$J$2/($I$2*0.001)</f>
        <v>505.576208178439</v>
      </c>
      <c r="E16" s="248" t="n">
        <f aca="false">MIN(D16/(A16-B16),$C$2)</f>
        <v>10.7305970715424</v>
      </c>
      <c r="F16" s="247" t="n">
        <f aca="false">I_Cout_ss+C16</f>
        <v>3.55925925925926</v>
      </c>
      <c r="G16" s="248" t="n">
        <f aca="false">IF($F$2="YES", F16, E16)</f>
        <v>3.55925925925926</v>
      </c>
      <c r="H16" s="247" t="n">
        <f aca="false">G16-C16</f>
        <v>3.25925925925926</v>
      </c>
      <c r="I16" s="249" t="n">
        <f aca="false">(COUTMAX/1000000)*(B16-B15)/H16</f>
        <v>0.000590034965034964</v>
      </c>
      <c r="J16" s="250" t="n">
        <f aca="false">J15+I16</f>
        <v>0.00354020979020978</v>
      </c>
      <c r="K16" s="244" t="n">
        <f aca="false">J16*1000</f>
        <v>3.54020979020978</v>
      </c>
      <c r="L16" s="239" t="n">
        <f aca="false">H16/G16</f>
        <v>0.915712799167534</v>
      </c>
      <c r="M16" s="23" t="n">
        <f aca="false">1/COUTMAX*(E16/2-C16)*1000</f>
        <v>1.2663246339428</v>
      </c>
      <c r="N16" s="23" t="n">
        <f aca="false">I16*G16*(A16-B16)</f>
        <v>0.0989464261699837</v>
      </c>
      <c r="O16" s="23" t="n">
        <f aca="false">G16*(A16-B16)</f>
        <v>167.695868945869</v>
      </c>
      <c r="P16" s="23" t="n">
        <f aca="false">(A16-B16)*(I_Cout_ss*$Q$2+C16)</f>
        <v>258.43660968661</v>
      </c>
      <c r="Q16" s="23" t="n">
        <f aca="false">(A16-B16)*(I_Cout_ss*$R$2+C16)</f>
        <v>118.83547008547</v>
      </c>
      <c r="X16" s="253"/>
      <c r="Y16" s="253"/>
    </row>
    <row r="17" customFormat="false" ht="12.75" hidden="false" customHeight="false" outlineLevel="0" collapsed="false">
      <c r="A17" s="23" t="n">
        <f aca="false">VINMAX</f>
        <v>50</v>
      </c>
      <c r="B17" s="246" t="n">
        <f aca="false">VINMAX*((ROW()-10)/104)</f>
        <v>3.36538461538462</v>
      </c>
      <c r="C17" s="247" t="n">
        <f aca="false">IF(B17&gt;=$H$2,IF($D$2="CC", $G$2, B17/$G$2), 0)</f>
        <v>0.3</v>
      </c>
      <c r="D17" s="248" t="n">
        <f aca="false">$B$2-B17*$J$2/($I$2*0.001)</f>
        <v>505.576208178439</v>
      </c>
      <c r="E17" s="248" t="n">
        <f aca="false">MIN(D17/(A17-B17),$C$2)</f>
        <v>10.8412217836201</v>
      </c>
      <c r="F17" s="247" t="n">
        <f aca="false">I_Cout_ss+C17</f>
        <v>3.55925925925926</v>
      </c>
      <c r="G17" s="248" t="n">
        <f aca="false">IF($F$2="YES", F17, E17)</f>
        <v>3.55925925925926</v>
      </c>
      <c r="H17" s="247" t="n">
        <f aca="false">G17-C17</f>
        <v>3.25925925925926</v>
      </c>
      <c r="I17" s="249" t="n">
        <f aca="false">(COUTMAX/1000000)*(B17-B16)/H17</f>
        <v>0.000590034965034976</v>
      </c>
      <c r="J17" s="250" t="n">
        <f aca="false">J16+I17</f>
        <v>0.00413024475524476</v>
      </c>
      <c r="K17" s="244" t="n">
        <f aca="false">J17*1000</f>
        <v>4.13024475524476</v>
      </c>
      <c r="L17" s="239" t="n">
        <f aca="false">H17/G17</f>
        <v>0.915712799167534</v>
      </c>
      <c r="M17" s="23" t="n">
        <f aca="false">1/COUTMAX*(E17/2-C17)*1000</f>
        <v>1.28015272295252</v>
      </c>
      <c r="N17" s="23" t="n">
        <f aca="false">I17*G17*(A17-B17)</f>
        <v>0.0979367687600879</v>
      </c>
      <c r="O17" s="23" t="n">
        <f aca="false">G17*(A17-B17)</f>
        <v>165.984686609687</v>
      </c>
      <c r="P17" s="23" t="n">
        <f aca="false">(A17-B17)*(I_Cout_ss*$Q$2+C17)</f>
        <v>255.799501424501</v>
      </c>
      <c r="Q17" s="23" t="n">
        <f aca="false">(A17-B17)*(I_Cout_ss*$R$2+C17)</f>
        <v>117.622863247863</v>
      </c>
      <c r="X17" s="252" t="s">
        <v>258</v>
      </c>
      <c r="Y17" s="253" t="n">
        <v>0.3</v>
      </c>
    </row>
    <row r="18" customFormat="false" ht="12.75" hidden="false" customHeight="false" outlineLevel="0" collapsed="false">
      <c r="A18" s="23" t="n">
        <f aca="false">VINMAX</f>
        <v>50</v>
      </c>
      <c r="B18" s="246" t="n">
        <f aca="false">VINMAX*((ROW()-10)/104)</f>
        <v>3.84615384615385</v>
      </c>
      <c r="C18" s="247" t="n">
        <f aca="false">IF(B18&gt;=$H$2,IF($D$2="CC", $G$2, B18/$G$2), 0)</f>
        <v>0.3</v>
      </c>
      <c r="D18" s="248" t="n">
        <f aca="false">$B$2-B18*$J$2/($I$2*0.001)</f>
        <v>505.576208178439</v>
      </c>
      <c r="E18" s="248" t="n">
        <f aca="false">MIN(D18/(A18-B18),$C$2)</f>
        <v>10.9541511771995</v>
      </c>
      <c r="F18" s="247" t="n">
        <f aca="false">I_Cout_ss+C18</f>
        <v>3.55925925925926</v>
      </c>
      <c r="G18" s="248" t="n">
        <f aca="false">IF($F$2="YES", F18, E18)</f>
        <v>3.55925925925926</v>
      </c>
      <c r="H18" s="247" t="n">
        <f aca="false">G18-C18</f>
        <v>3.25925925925926</v>
      </c>
      <c r="I18" s="249" t="n">
        <f aca="false">(COUTMAX/1000000)*(B18-B17)/H18</f>
        <v>0.000590034965034964</v>
      </c>
      <c r="J18" s="250" t="n">
        <f aca="false">J17+I18</f>
        <v>0.00472027972027973</v>
      </c>
      <c r="K18" s="244" t="n">
        <f aca="false">J18*1000</f>
        <v>4.72027972027973</v>
      </c>
      <c r="L18" s="239" t="n">
        <f aca="false">H18/G18</f>
        <v>0.915712799167534</v>
      </c>
      <c r="M18" s="23" t="n">
        <f aca="false">1/COUTMAX*(E18/2-C18)*1000</f>
        <v>1.29426889714994</v>
      </c>
      <c r="N18" s="23" t="n">
        <f aca="false">I18*G18*(A18-B18)</f>
        <v>0.0969271113501882</v>
      </c>
      <c r="O18" s="23" t="n">
        <f aca="false">G18*(A18-B18)</f>
        <v>164.273504273504</v>
      </c>
      <c r="P18" s="23" t="n">
        <f aca="false">(A18-B18)*(I_Cout_ss*$Q$2+C18)</f>
        <v>253.162393162393</v>
      </c>
      <c r="Q18" s="23" t="n">
        <f aca="false">(A18-B18)*(I_Cout_ss*$R$2+C18)</f>
        <v>116.410256410256</v>
      </c>
      <c r="X18" s="252" t="s">
        <v>311</v>
      </c>
      <c r="Y18" s="253" t="n">
        <f aca="false">MAX(Y15:Y17)</f>
        <v>0.424264068711929</v>
      </c>
    </row>
    <row r="19" customFormat="false" ht="12.75" hidden="false" customHeight="false" outlineLevel="0" collapsed="false">
      <c r="A19" s="23" t="n">
        <f aca="false">VINMAX</f>
        <v>50</v>
      </c>
      <c r="B19" s="246" t="n">
        <f aca="false">VINMAX*((ROW()-10)/104)</f>
        <v>4.32692307692308</v>
      </c>
      <c r="C19" s="247" t="n">
        <f aca="false">IF(B19&gt;=$H$2,IF($D$2="CC", $G$2, B19/$G$2), 0)</f>
        <v>0.3</v>
      </c>
      <c r="D19" s="248" t="n">
        <f aca="false">$B$2-B19*$J$2/($I$2*0.001)</f>
        <v>505.576208178439</v>
      </c>
      <c r="E19" s="248" t="n">
        <f aca="false">MIN(D19/(A19-B19),$C$2)</f>
        <v>11.0694580316963</v>
      </c>
      <c r="F19" s="247" t="n">
        <f aca="false">I_Cout_ss+C19</f>
        <v>3.55925925925926</v>
      </c>
      <c r="G19" s="248" t="n">
        <f aca="false">IF($F$2="YES", F19, E19)</f>
        <v>3.55925925925926</v>
      </c>
      <c r="H19" s="247" t="n">
        <f aca="false">G19-C19</f>
        <v>3.25925925925926</v>
      </c>
      <c r="I19" s="249" t="n">
        <f aca="false">(COUTMAX/1000000)*(B19-B18)/H19</f>
        <v>0.000590034965034964</v>
      </c>
      <c r="J19" s="250" t="n">
        <f aca="false">J18+I19</f>
        <v>0.00531031468531469</v>
      </c>
      <c r="K19" s="244" t="n">
        <f aca="false">J19*1000</f>
        <v>5.31031468531469</v>
      </c>
      <c r="L19" s="239" t="n">
        <f aca="false">H19/G19</f>
        <v>0.915712799167534</v>
      </c>
      <c r="M19" s="23" t="n">
        <f aca="false">1/COUTMAX*(E19/2-C19)*1000</f>
        <v>1.30868225396204</v>
      </c>
      <c r="N19" s="23" t="n">
        <f aca="false">I19*G19*(A19-B19)</f>
        <v>0.0959174539402903</v>
      </c>
      <c r="O19" s="23" t="n">
        <f aca="false">G19*(A19-B19)</f>
        <v>162.562321937322</v>
      </c>
      <c r="P19" s="23" t="n">
        <f aca="false">(A19-B19)*(I_Cout_ss*$Q$2+C19)</f>
        <v>250.525284900285</v>
      </c>
      <c r="Q19" s="23" t="n">
        <f aca="false">(A19-B19)*(I_Cout_ss*$R$2+C19)</f>
        <v>115.19764957265</v>
      </c>
      <c r="X19" s="253"/>
      <c r="Y19" s="253"/>
    </row>
    <row r="20" customFormat="false" ht="12.75" hidden="false" customHeight="false" outlineLevel="0" collapsed="false">
      <c r="A20" s="23" t="n">
        <f aca="false">VINMAX</f>
        <v>50</v>
      </c>
      <c r="B20" s="246" t="n">
        <f aca="false">VINMAX*((ROW()-10)/104)</f>
        <v>4.80769230769231</v>
      </c>
      <c r="C20" s="247" t="n">
        <f aca="false">IF(B20&gt;=$H$2,IF($D$2="CC", $G$2, B20/$G$2), 0)</f>
        <v>0.3</v>
      </c>
      <c r="D20" s="248" t="n">
        <f aca="false">$B$2-B20*$J$2/($I$2*0.001)</f>
        <v>505.576208178439</v>
      </c>
      <c r="E20" s="248" t="n">
        <f aca="false">MIN(D20/(A20-B20),$C$2)</f>
        <v>11.1872182235229</v>
      </c>
      <c r="F20" s="247" t="n">
        <f aca="false">I_Cout_ss+C20</f>
        <v>3.55925925925926</v>
      </c>
      <c r="G20" s="248" t="n">
        <f aca="false">IF($F$2="YES", F20, E20)</f>
        <v>3.55925925925926</v>
      </c>
      <c r="H20" s="247" t="n">
        <f aca="false">G20-C20</f>
        <v>3.25925925925926</v>
      </c>
      <c r="I20" s="249" t="n">
        <f aca="false">(COUTMAX/1000000)*(B20-B19)/H20</f>
        <v>0.000590034965034964</v>
      </c>
      <c r="J20" s="250" t="n">
        <f aca="false">J19+I20</f>
        <v>0.00590034965034965</v>
      </c>
      <c r="K20" s="244" t="n">
        <f aca="false">J20*1000</f>
        <v>5.90034965034965</v>
      </c>
      <c r="L20" s="239" t="n">
        <f aca="false">H20/G20</f>
        <v>0.915712799167534</v>
      </c>
      <c r="M20" s="23" t="n">
        <f aca="false">1/COUTMAX*(E20/2-C20)*1000</f>
        <v>1.32340227794036</v>
      </c>
      <c r="N20" s="23" t="n">
        <f aca="false">I20*G20*(A20-B20)</f>
        <v>0.0949077965303925</v>
      </c>
      <c r="O20" s="23" t="n">
        <f aca="false">G20*(A20-B20)</f>
        <v>160.85113960114</v>
      </c>
      <c r="P20" s="23" t="n">
        <f aca="false">(A20-B20)*(I_Cout_ss*$Q$2+C20)</f>
        <v>247.888176638176</v>
      </c>
      <c r="Q20" s="23" t="n">
        <f aca="false">(A20-B20)*(I_Cout_ss*$R$2+C20)</f>
        <v>113.985042735043</v>
      </c>
      <c r="X20" s="252" t="s">
        <v>312</v>
      </c>
      <c r="Y20" s="253" t="n">
        <v>0.2</v>
      </c>
    </row>
    <row r="21" customFormat="false" ht="12.75" hidden="false" customHeight="false" outlineLevel="0" collapsed="false">
      <c r="A21" s="23" t="n">
        <f aca="false">VINMAX</f>
        <v>50</v>
      </c>
      <c r="B21" s="246" t="n">
        <f aca="false">VINMAX*((ROW()-10)/104)</f>
        <v>5.28846153846154</v>
      </c>
      <c r="C21" s="247" t="n">
        <f aca="false">IF(B21&gt;=$H$2,IF($D$2="CC", $G$2, B21/$G$2), 0)</f>
        <v>0.3</v>
      </c>
      <c r="D21" s="248" t="n">
        <f aca="false">$B$2-B21*$J$2/($I$2*0.001)</f>
        <v>505.576208178439</v>
      </c>
      <c r="E21" s="248" t="n">
        <f aca="false">MIN(D21/(A21-B21),$C$2)</f>
        <v>11.307510892593</v>
      </c>
      <c r="F21" s="247" t="n">
        <f aca="false">I_Cout_ss+C21</f>
        <v>3.55925925925926</v>
      </c>
      <c r="G21" s="248" t="n">
        <f aca="false">IF($F$2="YES", F21, E21)</f>
        <v>3.55925925925926</v>
      </c>
      <c r="H21" s="247" t="n">
        <f aca="false">G21-C21</f>
        <v>3.25925925925926</v>
      </c>
      <c r="I21" s="249" t="n">
        <f aca="false">(COUTMAX/1000000)*(B21-B20)/H21</f>
        <v>0.000590034965034964</v>
      </c>
      <c r="J21" s="250" t="n">
        <f aca="false">J20+I21</f>
        <v>0.00649038461538462</v>
      </c>
      <c r="K21" s="244" t="n">
        <f aca="false">J21*1000</f>
        <v>6.49038461538462</v>
      </c>
      <c r="L21" s="239" t="n">
        <f aca="false">H21/G21</f>
        <v>0.915712799167534</v>
      </c>
      <c r="M21" s="23" t="n">
        <f aca="false">1/COUTMAX*(E21/2-C21)*1000</f>
        <v>1.33843886157413</v>
      </c>
      <c r="N21" s="23" t="n">
        <f aca="false">I21*G21*(A21-B21)</f>
        <v>0.0938981391204947</v>
      </c>
      <c r="O21" s="23" t="n">
        <f aca="false">G21*(A21-B21)</f>
        <v>159.139957264957</v>
      </c>
      <c r="P21" s="23" t="n">
        <f aca="false">(A21-B21)*(I_Cout_ss*$Q$2+C21)</f>
        <v>245.251068376068</v>
      </c>
      <c r="Q21" s="23" t="n">
        <f aca="false">(A21-B21)*(I_Cout_ss*$R$2+C21)</f>
        <v>112.772435897436</v>
      </c>
      <c r="X21" s="252" t="s">
        <v>313</v>
      </c>
      <c r="Y21" s="253" t="n">
        <v>0.2</v>
      </c>
    </row>
    <row r="22" customFormat="false" ht="12.75" hidden="false" customHeight="false" outlineLevel="0" collapsed="false">
      <c r="A22" s="23" t="n">
        <f aca="false">VINMAX</f>
        <v>50</v>
      </c>
      <c r="B22" s="246" t="n">
        <f aca="false">VINMAX*((ROW()-10)/104)</f>
        <v>5.76923076923077</v>
      </c>
      <c r="C22" s="247" t="n">
        <f aca="false">IF(B22&gt;=$H$2,IF($D$2="CC", $G$2, B22/$G$2), 0)</f>
        <v>0.3</v>
      </c>
      <c r="D22" s="248" t="n">
        <f aca="false">$B$2-B22*$J$2/($I$2*0.001)</f>
        <v>505.576208178439</v>
      </c>
      <c r="E22" s="248" t="n">
        <f aca="false">MIN(D22/(A22-B22),$C$2)</f>
        <v>11.4304186196864</v>
      </c>
      <c r="F22" s="247" t="n">
        <f aca="false">I_Cout_ss+C22</f>
        <v>3.55925925925926</v>
      </c>
      <c r="G22" s="248" t="n">
        <f aca="false">IF($F$2="YES", F22, E22)</f>
        <v>3.55925925925926</v>
      </c>
      <c r="H22" s="247" t="n">
        <f aca="false">G22-C22</f>
        <v>3.25925925925926</v>
      </c>
      <c r="I22" s="249" t="n">
        <f aca="false">(COUTMAX/1000000)*(B22-B21)/H22</f>
        <v>0.000590034965034964</v>
      </c>
      <c r="J22" s="250" t="n">
        <f aca="false">J21+I22</f>
        <v>0.00708041958041958</v>
      </c>
      <c r="K22" s="244" t="n">
        <f aca="false">J22*1000</f>
        <v>7.08041958041958</v>
      </c>
      <c r="L22" s="239" t="n">
        <f aca="false">H22/G22</f>
        <v>0.915712799167534</v>
      </c>
      <c r="M22" s="23" t="n">
        <f aca="false">1/COUTMAX*(E22/2-C22)*1000</f>
        <v>1.3538023274608</v>
      </c>
      <c r="N22" s="23" t="n">
        <f aca="false">I22*G22*(A22-B22)</f>
        <v>0.0928884817105969</v>
      </c>
      <c r="O22" s="23" t="n">
        <f aca="false">G22*(A22-B22)</f>
        <v>157.428774928775</v>
      </c>
      <c r="P22" s="23" t="n">
        <f aca="false">(A22-B22)*(I_Cout_ss*$Q$2+C22)</f>
        <v>242.61396011396</v>
      </c>
      <c r="Q22" s="23" t="n">
        <f aca="false">(A22-B22)*(I_Cout_ss*$R$2+C22)</f>
        <v>111.559829059829</v>
      </c>
      <c r="X22" s="252" t="s">
        <v>310</v>
      </c>
      <c r="Y22" s="253" t="n">
        <f aca="false">SQRT(Y21^2+Y20^2)</f>
        <v>0.282842712474619</v>
      </c>
    </row>
    <row r="23" customFormat="false" ht="12.75" hidden="false" customHeight="false" outlineLevel="0" collapsed="false">
      <c r="A23" s="23" t="n">
        <f aca="false">VINMAX</f>
        <v>50</v>
      </c>
      <c r="B23" s="246" t="n">
        <f aca="false">VINMAX*((ROW()-10)/104)</f>
        <v>6.25</v>
      </c>
      <c r="C23" s="247" t="n">
        <f aca="false">IF(B23&gt;=$H$2,IF($D$2="CC", $G$2, B23/$G$2), 0)</f>
        <v>0.3</v>
      </c>
      <c r="D23" s="248" t="n">
        <f aca="false">$B$2-B23*$J$2/($I$2*0.001)</f>
        <v>505.576208178439</v>
      </c>
      <c r="E23" s="248" t="n">
        <f aca="false">MIN(D23/(A23-B23),$C$2)</f>
        <v>11.5560276155072</v>
      </c>
      <c r="F23" s="247" t="n">
        <f aca="false">I_Cout_ss+C23</f>
        <v>3.55925925925926</v>
      </c>
      <c r="G23" s="248" t="n">
        <f aca="false">IF($F$2="YES", F23, E23)</f>
        <v>3.55925925925926</v>
      </c>
      <c r="H23" s="247" t="n">
        <f aca="false">G23-C23</f>
        <v>3.25925925925926</v>
      </c>
      <c r="I23" s="249" t="n">
        <f aca="false">(COUTMAX/1000000)*(B23-B22)/H23</f>
        <v>0.000590034965034964</v>
      </c>
      <c r="J23" s="250" t="n">
        <f aca="false">J22+I23</f>
        <v>0.00767045454545455</v>
      </c>
      <c r="K23" s="244" t="n">
        <f aca="false">J23*1000</f>
        <v>7.67045454545455</v>
      </c>
      <c r="L23" s="239" t="n">
        <f aca="false">H23/G23</f>
        <v>0.915712799167534</v>
      </c>
      <c r="M23" s="23" t="n">
        <f aca="false">1/COUTMAX*(E23/2-C23)*1000</f>
        <v>1.3695034519384</v>
      </c>
      <c r="N23" s="23" t="n">
        <f aca="false">I23*G23*(A23-B23)</f>
        <v>0.0918788243006992</v>
      </c>
      <c r="O23" s="23" t="n">
        <f aca="false">G23*(A23-B23)</f>
        <v>155.717592592593</v>
      </c>
      <c r="P23" s="23" t="n">
        <f aca="false">(A23-B23)*(I_Cout_ss*$Q$2+C23)</f>
        <v>239.976851851852</v>
      </c>
      <c r="Q23" s="23" t="n">
        <f aca="false">(A23-B23)*(I_Cout_ss*$R$2+C23)</f>
        <v>110.347222222222</v>
      </c>
      <c r="X23" s="253"/>
      <c r="Y23" s="253"/>
    </row>
    <row r="24" customFormat="false" ht="12.75" hidden="false" customHeight="false" outlineLevel="0" collapsed="false">
      <c r="A24" s="23" t="n">
        <f aca="false">VINMAX</f>
        <v>50</v>
      </c>
      <c r="B24" s="246" t="n">
        <f aca="false">VINMAX*((ROW()-10)/104)</f>
        <v>6.73076923076923</v>
      </c>
      <c r="C24" s="247" t="n">
        <f aca="false">IF(B24&gt;=$H$2,IF($D$2="CC", $G$2, B24/$G$2), 0)</f>
        <v>0.3</v>
      </c>
      <c r="D24" s="248" t="n">
        <f aca="false">$B$2-B24*$J$2/($I$2*0.001)</f>
        <v>505.576208178439</v>
      </c>
      <c r="E24" s="248" t="n">
        <f aca="false">MIN(D24/(A24-B24),$C$2)</f>
        <v>11.6844279223461</v>
      </c>
      <c r="F24" s="247" t="n">
        <f aca="false">I_Cout_ss+C24</f>
        <v>3.55925925925926</v>
      </c>
      <c r="G24" s="248" t="n">
        <f aca="false">IF($F$2="YES", F24, E24)</f>
        <v>3.55925925925926</v>
      </c>
      <c r="H24" s="247" t="n">
        <f aca="false">G24-C24</f>
        <v>3.25925925925926</v>
      </c>
      <c r="I24" s="249" t="n">
        <f aca="false">(COUTMAX/1000000)*(B24-B23)/H24</f>
        <v>0.000590034965034964</v>
      </c>
      <c r="J24" s="250" t="n">
        <f aca="false">J23+I24</f>
        <v>0.00826048951048951</v>
      </c>
      <c r="K24" s="244" t="n">
        <f aca="false">J24*1000</f>
        <v>8.26048951048951</v>
      </c>
      <c r="L24" s="239" t="n">
        <f aca="false">H24/G24</f>
        <v>0.915712799167534</v>
      </c>
      <c r="M24" s="23" t="n">
        <f aca="false">1/COUTMAX*(E24/2-C24)*1000</f>
        <v>1.38555349029327</v>
      </c>
      <c r="N24" s="23" t="n">
        <f aca="false">I24*G24*(A24-B24)</f>
        <v>0.0908691668908014</v>
      </c>
      <c r="O24" s="23" t="n">
        <f aca="false">G24*(A24-B24)</f>
        <v>154.00641025641</v>
      </c>
      <c r="P24" s="23" t="n">
        <f aca="false">(A24-B24)*(I_Cout_ss*$Q$2+C24)</f>
        <v>237.339743589743</v>
      </c>
      <c r="Q24" s="23" t="n">
        <f aca="false">(A24-B24)*(I_Cout_ss*$R$2+C24)</f>
        <v>109.134615384615</v>
      </c>
      <c r="X24" s="252" t="s">
        <v>314</v>
      </c>
      <c r="Y24" s="253" t="n">
        <f aca="false">SQRT(Y18^2+Y22^2)</f>
        <v>0.509901951359278</v>
      </c>
    </row>
    <row r="25" customFormat="false" ht="12.75" hidden="false" customHeight="false" outlineLevel="0" collapsed="false">
      <c r="A25" s="23" t="n">
        <f aca="false">VINMAX</f>
        <v>50</v>
      </c>
      <c r="B25" s="246" t="n">
        <f aca="false">VINMAX*((ROW()-10)/104)</f>
        <v>7.21153846153846</v>
      </c>
      <c r="C25" s="247" t="n">
        <f aca="false">IF(B25&gt;=$H$2,IF($D$2="CC", $G$2, B25/$G$2), 0)</f>
        <v>0.3</v>
      </c>
      <c r="D25" s="248" t="n">
        <f aca="false">$B$2-B25*$J$2/($I$2*0.001)</f>
        <v>505.576208178439</v>
      </c>
      <c r="E25" s="248" t="n">
        <f aca="false">MIN(D25/(A25-B25),$C$2)</f>
        <v>11.8157136293388</v>
      </c>
      <c r="F25" s="247" t="n">
        <f aca="false">I_Cout_ss+C25</f>
        <v>3.55925925925926</v>
      </c>
      <c r="G25" s="248" t="n">
        <f aca="false">IF($F$2="YES", F25, E25)</f>
        <v>3.55925925925926</v>
      </c>
      <c r="H25" s="247" t="n">
        <f aca="false">G25-C25</f>
        <v>3.25925925925926</v>
      </c>
      <c r="I25" s="249" t="n">
        <f aca="false">(COUTMAX/1000000)*(B25-B24)/H25</f>
        <v>0.000590034965034964</v>
      </c>
      <c r="J25" s="250" t="n">
        <f aca="false">J24+I25</f>
        <v>0.00885052447552447</v>
      </c>
      <c r="K25" s="244" t="n">
        <f aca="false">J25*1000</f>
        <v>8.85052447552448</v>
      </c>
      <c r="L25" s="239" t="n">
        <f aca="false">H25/G25</f>
        <v>0.915712799167534</v>
      </c>
      <c r="M25" s="23" t="n">
        <f aca="false">1/COUTMAX*(E25/2-C25)*1000</f>
        <v>1.40196420366735</v>
      </c>
      <c r="N25" s="23" t="n">
        <f aca="false">I25*G25*(A25-B25)</f>
        <v>0.0898595094809036</v>
      </c>
      <c r="O25" s="23" t="n">
        <f aca="false">G25*(A25-B25)</f>
        <v>152.295227920228</v>
      </c>
      <c r="P25" s="23" t="n">
        <f aca="false">(A25-B25)*(I_Cout_ss*$Q$2+C25)</f>
        <v>234.702635327635</v>
      </c>
      <c r="Q25" s="23" t="n">
        <f aca="false">(A25-B25)*(I_Cout_ss*$R$2+C25)</f>
        <v>107.922008547009</v>
      </c>
    </row>
    <row r="26" customFormat="false" ht="12.75" hidden="false" customHeight="false" outlineLevel="0" collapsed="false">
      <c r="A26" s="23" t="n">
        <f aca="false">VINMAX</f>
        <v>50</v>
      </c>
      <c r="B26" s="246" t="n">
        <f aca="false">VINMAX*((ROW()-10)/104)</f>
        <v>7.69230769230769</v>
      </c>
      <c r="C26" s="247" t="n">
        <f aca="false">IF(B26&gt;=$H$2,IF($D$2="CC", $G$2, B26/$G$2), 0)</f>
        <v>0.3</v>
      </c>
      <c r="D26" s="248" t="n">
        <f aca="false">$B$2-B26*$J$2/($I$2*0.001)</f>
        <v>505.576208178439</v>
      </c>
      <c r="E26" s="248" t="n">
        <f aca="false">MIN(D26/(A26-B26),$C$2)</f>
        <v>11.9499831023995</v>
      </c>
      <c r="F26" s="247" t="n">
        <f aca="false">I_Cout_ss+C26</f>
        <v>3.55925925925926</v>
      </c>
      <c r="G26" s="248" t="n">
        <f aca="false">IF($F$2="YES", F26, E26)</f>
        <v>3.55925925925926</v>
      </c>
      <c r="H26" s="247" t="n">
        <f aca="false">G26-C26</f>
        <v>3.25925925925926</v>
      </c>
      <c r="I26" s="249" t="n">
        <f aca="false">(COUTMAX/1000000)*(B26-B25)/H26</f>
        <v>0.000590034965034964</v>
      </c>
      <c r="J26" s="250" t="n">
        <f aca="false">J25+I26</f>
        <v>0.00944055944055944</v>
      </c>
      <c r="K26" s="244" t="n">
        <f aca="false">J26*1000</f>
        <v>9.44055944055944</v>
      </c>
      <c r="L26" s="239" t="n">
        <f aca="false">H26/G26</f>
        <v>0.915712799167534</v>
      </c>
      <c r="M26" s="23" t="n">
        <f aca="false">1/COUTMAX*(E26/2-C26)*1000</f>
        <v>1.41874788779993</v>
      </c>
      <c r="N26" s="23" t="n">
        <f aca="false">I26*G26*(A26-B26)</f>
        <v>0.0888498520710058</v>
      </c>
      <c r="O26" s="23" t="n">
        <f aca="false">G26*(A26-B26)</f>
        <v>150.584045584046</v>
      </c>
      <c r="P26" s="23" t="n">
        <f aca="false">(A26-B26)*(I_Cout_ss*$Q$2+C26)</f>
        <v>232.065527065527</v>
      </c>
      <c r="Q26" s="23" t="n">
        <f aca="false">(A26-B26)*(I_Cout_ss*$R$2+C26)</f>
        <v>106.709401709402</v>
      </c>
    </row>
    <row r="27" customFormat="false" ht="12.75" hidden="false" customHeight="false" outlineLevel="0" collapsed="false">
      <c r="A27" s="23" t="n">
        <f aca="false">VINMAX</f>
        <v>50</v>
      </c>
      <c r="B27" s="246" t="n">
        <f aca="false">VINMAX*((ROW()-10)/104)</f>
        <v>8.17307692307692</v>
      </c>
      <c r="C27" s="247" t="n">
        <f aca="false">IF(B27&gt;=$H$2,IF($D$2="CC", $G$2, B27/$G$2), 0)</f>
        <v>0.3</v>
      </c>
      <c r="D27" s="248" t="n">
        <f aca="false">$B$2-B27*$J$2/($I$2*0.001)</f>
        <v>505.576208178439</v>
      </c>
      <c r="E27" s="248" t="n">
        <f aca="false">MIN(D27/(A27-B27),$C$2)</f>
        <v>12.0873392300132</v>
      </c>
      <c r="F27" s="247" t="n">
        <f aca="false">I_Cout_ss+C27</f>
        <v>3.55925925925926</v>
      </c>
      <c r="G27" s="248" t="n">
        <f aca="false">IF($F$2="YES", F27, E27)</f>
        <v>3.55925925925926</v>
      </c>
      <c r="H27" s="247" t="n">
        <f aca="false">G27-C27</f>
        <v>3.25925925925926</v>
      </c>
      <c r="I27" s="249" t="n">
        <f aca="false">(COUTMAX/1000000)*(B27-B26)/H27</f>
        <v>0.000590034965034964</v>
      </c>
      <c r="J27" s="250" t="n">
        <f aca="false">J26+I27</f>
        <v>0.0100305944055944</v>
      </c>
      <c r="K27" s="244" t="n">
        <f aca="false">J27*1000</f>
        <v>10.0305944055944</v>
      </c>
      <c r="L27" s="239" t="n">
        <f aca="false">H27/G27</f>
        <v>0.915712799167534</v>
      </c>
      <c r="M27" s="23" t="n">
        <f aca="false">1/COUTMAX*(E27/2-C27)*1000</f>
        <v>1.43591740375166</v>
      </c>
      <c r="N27" s="23" t="n">
        <f aca="false">I27*G27*(A27-B27)</f>
        <v>0.087840194661108</v>
      </c>
      <c r="O27" s="23" t="n">
        <f aca="false">G27*(A27-B27)</f>
        <v>148.872863247863</v>
      </c>
      <c r="P27" s="23" t="n">
        <f aca="false">(A27-B27)*(I_Cout_ss*$Q$2+C27)</f>
        <v>229.428418803419</v>
      </c>
      <c r="Q27" s="23" t="n">
        <f aca="false">(A27-B27)*(I_Cout_ss*$R$2+C27)</f>
        <v>105.496794871795</v>
      </c>
    </row>
    <row r="28" customFormat="false" ht="12.75" hidden="false" customHeight="false" outlineLevel="0" collapsed="false">
      <c r="A28" s="23" t="n">
        <f aca="false">VINMAX</f>
        <v>50</v>
      </c>
      <c r="B28" s="246" t="n">
        <f aca="false">VINMAX*((ROW()-10)/104)</f>
        <v>8.65384615384615</v>
      </c>
      <c r="C28" s="247" t="n">
        <f aca="false">IF(B28&gt;=$H$2,IF($D$2="CC", $G$2, B28/$G$2), 0)</f>
        <v>0.3</v>
      </c>
      <c r="D28" s="248" t="n">
        <f aca="false">$B$2-B28*$J$2/($I$2*0.001)</f>
        <v>505.576208178439</v>
      </c>
      <c r="E28" s="248" t="n">
        <f aca="false">MIN(D28/(A28-B28),$C$2)</f>
        <v>12.2278896861762</v>
      </c>
      <c r="F28" s="247" t="n">
        <f aca="false">I_Cout_ss+C28</f>
        <v>3.55925925925926</v>
      </c>
      <c r="G28" s="248" t="n">
        <f aca="false">IF($F$2="YES", F28, E28)</f>
        <v>3.55925925925926</v>
      </c>
      <c r="H28" s="247" t="n">
        <f aca="false">G28-C28</f>
        <v>3.25925925925926</v>
      </c>
      <c r="I28" s="249" t="n">
        <f aca="false">(COUTMAX/1000000)*(B28-B27)/H28</f>
        <v>0.000590034965034964</v>
      </c>
      <c r="J28" s="250" t="n">
        <f aca="false">J27+I28</f>
        <v>0.0106206293706294</v>
      </c>
      <c r="K28" s="244" t="n">
        <f aca="false">J28*1000</f>
        <v>10.6206293706294</v>
      </c>
      <c r="L28" s="239" t="n">
        <f aca="false">H28/G28</f>
        <v>0.915712799167534</v>
      </c>
      <c r="M28" s="23" t="n">
        <f aca="false">1/COUTMAX*(E28/2-C28)*1000</f>
        <v>1.45348621077202</v>
      </c>
      <c r="N28" s="23" t="n">
        <f aca="false">I28*G28*(A28-B28)</f>
        <v>0.0868305372512102</v>
      </c>
      <c r="O28" s="23" t="n">
        <f aca="false">G28*(A28-B28)</f>
        <v>147.161680911681</v>
      </c>
      <c r="P28" s="23" t="n">
        <f aca="false">(A28-B28)*(I_Cout_ss*$Q$2+C28)</f>
        <v>226.79131054131</v>
      </c>
      <c r="Q28" s="23" t="n">
        <f aca="false">(A28-B28)*(I_Cout_ss*$R$2+C28)</f>
        <v>104.284188034188</v>
      </c>
    </row>
    <row r="29" customFormat="false" ht="12.75" hidden="false" customHeight="false" outlineLevel="0" collapsed="false">
      <c r="A29" s="23" t="n">
        <f aca="false">VINMAX</f>
        <v>50</v>
      </c>
      <c r="B29" s="246" t="n">
        <f aca="false">VINMAX*((ROW()-10)/104)</f>
        <v>9.13461538461538</v>
      </c>
      <c r="C29" s="247" t="n">
        <f aca="false">IF(B29&gt;=$H$2,IF($D$2="CC", $G$2, B29/$G$2), 0)</f>
        <v>0.3</v>
      </c>
      <c r="D29" s="248" t="n">
        <f aca="false">$B$2-B29*$J$2/($I$2*0.001)</f>
        <v>505.576208178439</v>
      </c>
      <c r="E29" s="248" t="n">
        <f aca="false">MIN(D29/(A29-B29),$C$2)</f>
        <v>12.3717472118959</v>
      </c>
      <c r="F29" s="247" t="n">
        <f aca="false">I_Cout_ss+C29</f>
        <v>3.55925925925926</v>
      </c>
      <c r="G29" s="248" t="n">
        <f aca="false">IF($F$2="YES", F29, E29)</f>
        <v>3.55925925925926</v>
      </c>
      <c r="H29" s="247" t="n">
        <f aca="false">G29-C29</f>
        <v>3.25925925925926</v>
      </c>
      <c r="I29" s="249" t="n">
        <f aca="false">(COUTMAX/1000000)*(B29-B28)/H29</f>
        <v>0.000590034965034964</v>
      </c>
      <c r="J29" s="250" t="n">
        <f aca="false">J28+I29</f>
        <v>0.0112106643356643</v>
      </c>
      <c r="K29" s="244" t="n">
        <f aca="false">J29*1000</f>
        <v>11.2106643356643</v>
      </c>
      <c r="L29" s="239" t="n">
        <f aca="false">H29/G29</f>
        <v>0.915712799167534</v>
      </c>
      <c r="M29" s="23" t="n">
        <f aca="false">1/COUTMAX*(E29/2-C29)*1000</f>
        <v>1.47146840148699</v>
      </c>
      <c r="N29" s="23" t="n">
        <f aca="false">I29*G29*(A29-B29)</f>
        <v>0.0858208798413124</v>
      </c>
      <c r="O29" s="23" t="n">
        <f aca="false">G29*(A29-B29)</f>
        <v>145.450498575499</v>
      </c>
      <c r="P29" s="23" t="n">
        <f aca="false">(A29-B29)*(I_Cout_ss*$Q$2+C29)</f>
        <v>224.154202279202</v>
      </c>
      <c r="Q29" s="23" t="n">
        <f aca="false">(A29-B29)*(I_Cout_ss*$R$2+C29)</f>
        <v>103.071581196581</v>
      </c>
    </row>
    <row r="30" customFormat="false" ht="12.75" hidden="false" customHeight="false" outlineLevel="0" collapsed="false">
      <c r="A30" s="23" t="n">
        <f aca="false">VINMAX</f>
        <v>50</v>
      </c>
      <c r="B30" s="246" t="n">
        <f aca="false">VINMAX*((ROW()-10)/104)</f>
        <v>9.61538461538462</v>
      </c>
      <c r="C30" s="247" t="n">
        <f aca="false">IF(B30&gt;=$H$2,IF($D$2="CC", $G$2, B30/$G$2), 0)</f>
        <v>0.3</v>
      </c>
      <c r="D30" s="248" t="n">
        <f aca="false">$B$2-B30*$J$2/($I$2*0.001)</f>
        <v>505.576208178439</v>
      </c>
      <c r="E30" s="248" t="n">
        <f aca="false">MIN(D30/(A30-B30),$C$2)</f>
        <v>12.5190299167994</v>
      </c>
      <c r="F30" s="247" t="n">
        <f aca="false">I_Cout_ss+C30</f>
        <v>3.55925925925926</v>
      </c>
      <c r="G30" s="248" t="n">
        <f aca="false">IF($F$2="YES", F30, E30)</f>
        <v>3.55925925925926</v>
      </c>
      <c r="H30" s="247" t="n">
        <f aca="false">G30-C30</f>
        <v>3.25925925925926</v>
      </c>
      <c r="I30" s="249" t="n">
        <f aca="false">(COUTMAX/1000000)*(B30-B29)/H30</f>
        <v>0.000590034965034977</v>
      </c>
      <c r="J30" s="250" t="n">
        <f aca="false">J29+I30</f>
        <v>0.0118006993006993</v>
      </c>
      <c r="K30" s="244" t="n">
        <f aca="false">J30*1000</f>
        <v>11.8006993006993</v>
      </c>
      <c r="L30" s="239" t="n">
        <f aca="false">H30/G30</f>
        <v>0.915712799167534</v>
      </c>
      <c r="M30" s="23" t="n">
        <f aca="false">1/COUTMAX*(E30/2-C30)*1000</f>
        <v>1.48987873959993</v>
      </c>
      <c r="N30" s="23" t="n">
        <f aca="false">I30*G30*(A30-B30)</f>
        <v>0.0848112224314165</v>
      </c>
      <c r="O30" s="23" t="n">
        <f aca="false">G30*(A30-B30)</f>
        <v>143.739316239316</v>
      </c>
      <c r="P30" s="23" t="n">
        <f aca="false">(A30-B30)*(I_Cout_ss*$Q$2+C30)</f>
        <v>221.517094017094</v>
      </c>
      <c r="Q30" s="23" t="n">
        <f aca="false">(A30-B30)*(I_Cout_ss*$R$2+C30)</f>
        <v>101.858974358974</v>
      </c>
    </row>
    <row r="31" customFormat="false" ht="12.75" hidden="false" customHeight="false" outlineLevel="0" collapsed="false">
      <c r="A31" s="23" t="n">
        <f aca="false">VINMAX</f>
        <v>50</v>
      </c>
      <c r="B31" s="246" t="n">
        <f aca="false">VINMAX*((ROW()-10)/104)</f>
        <v>10.0961538461538</v>
      </c>
      <c r="C31" s="247" t="n">
        <f aca="false">IF(B31&gt;=$H$2,IF($D$2="CC", $G$2, B31/$G$2), 0)</f>
        <v>0.3</v>
      </c>
      <c r="D31" s="248" t="n">
        <f aca="false">$B$2-B31*$J$2/($I$2*0.001)</f>
        <v>505.576208178439</v>
      </c>
      <c r="E31" s="248" t="n">
        <f aca="false">MIN(D31/(A31-B31),$C$2)</f>
        <v>12.669861602544</v>
      </c>
      <c r="F31" s="247" t="n">
        <f aca="false">I_Cout_ss+C31</f>
        <v>3.55925925925926</v>
      </c>
      <c r="G31" s="248" t="n">
        <f aca="false">IF($F$2="YES", F31, E31)</f>
        <v>3.55925925925926</v>
      </c>
      <c r="H31" s="247" t="n">
        <f aca="false">G31-C31</f>
        <v>3.25925925925926</v>
      </c>
      <c r="I31" s="249" t="n">
        <f aca="false">(COUTMAX/1000000)*(B31-B30)/H31</f>
        <v>0.000590034965034903</v>
      </c>
      <c r="J31" s="250" t="n">
        <f aca="false">J30+I31</f>
        <v>0.0123907342657342</v>
      </c>
      <c r="K31" s="244" t="n">
        <f aca="false">J31*1000</f>
        <v>12.3907342657342</v>
      </c>
      <c r="L31" s="239" t="n">
        <f aca="false">H31/G31</f>
        <v>0.915712799167534</v>
      </c>
      <c r="M31" s="23" t="n">
        <f aca="false">1/COUTMAX*(E31/2-C31)*1000</f>
        <v>1.508732700318</v>
      </c>
      <c r="N31" s="23" t="n">
        <f aca="false">I31*G31*(A31-B31)</f>
        <v>0.0838015650215082</v>
      </c>
      <c r="O31" s="23" t="n">
        <f aca="false">G31*(A31-B31)</f>
        <v>142.028133903134</v>
      </c>
      <c r="P31" s="23" t="n">
        <f aca="false">(A31-B31)*(I_Cout_ss*$Q$2+C31)</f>
        <v>218.879985754986</v>
      </c>
      <c r="Q31" s="23" t="n">
        <f aca="false">(A31-B31)*(I_Cout_ss*$R$2+C31)</f>
        <v>100.646367521368</v>
      </c>
    </row>
    <row r="32" customFormat="false" ht="12.75" hidden="false" customHeight="false" outlineLevel="0" collapsed="false">
      <c r="A32" s="23" t="n">
        <f aca="false">VINMAX</f>
        <v>50</v>
      </c>
      <c r="B32" s="246" t="n">
        <f aca="false">VINMAX*((ROW()-10)/104)</f>
        <v>10.5769230769231</v>
      </c>
      <c r="C32" s="247" t="n">
        <f aca="false">IF(B32&gt;=$H$2,IF($D$2="CC", $G$2, B32/$G$2), 0)</f>
        <v>0.3</v>
      </c>
      <c r="D32" s="248" t="n">
        <f aca="false">$B$2-B32*$J$2/($I$2*0.001)</f>
        <v>505.576208178439</v>
      </c>
      <c r="E32" s="248" t="n">
        <f aca="false">MIN(D32/(A32-B32),$C$2)</f>
        <v>12.8243721098921</v>
      </c>
      <c r="F32" s="247" t="n">
        <f aca="false">I_Cout_ss+C32</f>
        <v>3.55925925925926</v>
      </c>
      <c r="G32" s="248" t="n">
        <f aca="false">IF($F$2="YES", F32, E32)</f>
        <v>3.55925925925926</v>
      </c>
      <c r="H32" s="247" t="n">
        <f aca="false">G32-C32</f>
        <v>3.25925925925926</v>
      </c>
      <c r="I32" s="249" t="n">
        <f aca="false">(COUTMAX/1000000)*(B32-B31)/H32</f>
        <v>0.000590034965035049</v>
      </c>
      <c r="J32" s="250" t="n">
        <f aca="false">J31+I32</f>
        <v>0.0129807692307693</v>
      </c>
      <c r="K32" s="244" t="n">
        <f aca="false">J32*1000</f>
        <v>12.9807692307693</v>
      </c>
      <c r="L32" s="239" t="n">
        <f aca="false">H32/G32</f>
        <v>0.915712799167534</v>
      </c>
      <c r="M32" s="23" t="n">
        <f aca="false">1/COUTMAX*(E32/2-C32)*1000</f>
        <v>1.52804651373651</v>
      </c>
      <c r="N32" s="23" t="n">
        <f aca="false">I32*G32*(A32-B32)</f>
        <v>0.0827919076116309</v>
      </c>
      <c r="O32" s="23" t="n">
        <f aca="false">G32*(A32-B32)</f>
        <v>140.316951566951</v>
      </c>
      <c r="P32" s="23" t="n">
        <f aca="false">(A32-B32)*(I_Cout_ss*$Q$2+C32)</f>
        <v>216.242877492877</v>
      </c>
      <c r="Q32" s="23" t="n">
        <f aca="false">(A32-B32)*(I_Cout_ss*$R$2+C32)</f>
        <v>99.4337606837606</v>
      </c>
    </row>
    <row r="33" customFormat="false" ht="12.75" hidden="false" customHeight="false" outlineLevel="0" collapsed="false">
      <c r="A33" s="23" t="n">
        <f aca="false">VINMAX</f>
        <v>50</v>
      </c>
      <c r="B33" s="246" t="n">
        <f aca="false">VINMAX*((ROW()-10)/104)</f>
        <v>11.0576923076923</v>
      </c>
      <c r="C33" s="247" t="n">
        <f aca="false">IF(B33&gt;=$H$2,IF($D$2="CC", $G$2, B33/$G$2), 0)</f>
        <v>0.3</v>
      </c>
      <c r="D33" s="248" t="n">
        <f aca="false">$B$2-B33*$J$2/($I$2*0.001)</f>
        <v>505.576208178439</v>
      </c>
      <c r="E33" s="248" t="n">
        <f aca="false">MIN(D33/(A33-B33),$C$2)</f>
        <v>12.9826976914957</v>
      </c>
      <c r="F33" s="247" t="n">
        <f aca="false">I_Cout_ss+C33</f>
        <v>3.55925925925926</v>
      </c>
      <c r="G33" s="248" t="n">
        <f aca="false">IF($F$2="YES", F33, E33)</f>
        <v>3.55925925925926</v>
      </c>
      <c r="H33" s="247" t="n">
        <f aca="false">G33-C33</f>
        <v>3.25925925925926</v>
      </c>
      <c r="I33" s="249" t="n">
        <f aca="false">(COUTMAX/1000000)*(B33-B32)/H33</f>
        <v>0.000590034965034927</v>
      </c>
      <c r="J33" s="250" t="n">
        <f aca="false">J32+I33</f>
        <v>0.0135708041958042</v>
      </c>
      <c r="K33" s="244" t="n">
        <f aca="false">J33*1000</f>
        <v>13.5708041958042</v>
      </c>
      <c r="L33" s="239" t="n">
        <f aca="false">H33/G33</f>
        <v>0.915712799167534</v>
      </c>
      <c r="M33" s="23" t="n">
        <f aca="false">1/COUTMAX*(E33/2-C33)*1000</f>
        <v>1.54783721143696</v>
      </c>
      <c r="N33" s="23" t="n">
        <f aca="false">I33*G33*(A33-B33)</f>
        <v>0.0817822502017161</v>
      </c>
      <c r="O33" s="23" t="n">
        <f aca="false">G33*(A33-B33)</f>
        <v>138.605769230769</v>
      </c>
      <c r="P33" s="23" t="n">
        <f aca="false">(A33-B33)*(I_Cout_ss*$Q$2+C33)</f>
        <v>213.605769230769</v>
      </c>
      <c r="Q33" s="23" t="n">
        <f aca="false">(A33-B33)*(I_Cout_ss*$R$2+C33)</f>
        <v>98.2211538461539</v>
      </c>
    </row>
    <row r="34" customFormat="false" ht="12.75" hidden="false" customHeight="false" outlineLevel="0" collapsed="false">
      <c r="A34" s="23" t="n">
        <f aca="false">VINMAX</f>
        <v>50</v>
      </c>
      <c r="B34" s="246" t="n">
        <f aca="false">VINMAX*((ROW()-10)/104)</f>
        <v>11.5384615384615</v>
      </c>
      <c r="C34" s="247" t="n">
        <f aca="false">IF(B34&gt;=$H$2,IF($D$2="CC", $G$2, B34/$G$2), 0)</f>
        <v>0.3</v>
      </c>
      <c r="D34" s="248" t="n">
        <f aca="false">$B$2-B34*$J$2/($I$2*0.001)</f>
        <v>505.576208178439</v>
      </c>
      <c r="E34" s="248" t="n">
        <f aca="false">MIN(D34/(A34-B34),$C$2)</f>
        <v>13.1449814126394</v>
      </c>
      <c r="F34" s="247" t="n">
        <f aca="false">I_Cout_ss+C34</f>
        <v>3.55925925925926</v>
      </c>
      <c r="G34" s="248" t="n">
        <f aca="false">IF($F$2="YES", F34, E34)</f>
        <v>3.55925925925926</v>
      </c>
      <c r="H34" s="247" t="n">
        <f aca="false">G34-C34</f>
        <v>3.25925925925926</v>
      </c>
      <c r="I34" s="249" t="n">
        <f aca="false">(COUTMAX/1000000)*(B34-B33)/H34</f>
        <v>0.000590034965034927</v>
      </c>
      <c r="J34" s="250" t="n">
        <f aca="false">J33+I34</f>
        <v>0.0141608391608391</v>
      </c>
      <c r="K34" s="244" t="n">
        <f aca="false">J34*1000</f>
        <v>14.1608391608391</v>
      </c>
      <c r="L34" s="239" t="n">
        <f aca="false">H34/G34</f>
        <v>0.915712799167534</v>
      </c>
      <c r="M34" s="23" t="n">
        <f aca="false">1/COUTMAX*(E34/2-C34)*1000</f>
        <v>1.56812267657992</v>
      </c>
      <c r="N34" s="23" t="n">
        <f aca="false">I34*G34*(A34-B34)</f>
        <v>0.0807725927918185</v>
      </c>
      <c r="O34" s="23" t="n">
        <f aca="false">G34*(A34-B34)</f>
        <v>136.894586894587</v>
      </c>
      <c r="P34" s="23" t="n">
        <f aca="false">(A34-B34)*(I_Cout_ss*$Q$2+C34)</f>
        <v>210.968660968661</v>
      </c>
      <c r="Q34" s="23" t="n">
        <f aca="false">(A34-B34)*(I_Cout_ss*$R$2+C34)</f>
        <v>97.0085470085471</v>
      </c>
    </row>
    <row r="35" customFormat="false" ht="12.75" hidden="false" customHeight="false" outlineLevel="0" collapsed="false">
      <c r="A35" s="23" t="n">
        <f aca="false">VINMAX</f>
        <v>50</v>
      </c>
      <c r="B35" s="246" t="n">
        <f aca="false">VINMAX*((ROW()-10)/104)</f>
        <v>12.0192307692308</v>
      </c>
      <c r="C35" s="247" t="n">
        <f aca="false">IF(B35&gt;=$H$2,IF($D$2="CC", $G$2, B35/$G$2), 0)</f>
        <v>0.3</v>
      </c>
      <c r="D35" s="248" t="n">
        <f aca="false">$B$2-B35*$J$2/($I$2*0.001)</f>
        <v>505.576208178439</v>
      </c>
      <c r="E35" s="248" t="n">
        <f aca="false">MIN(D35/(A35-B35),$C$2)</f>
        <v>13.3113735824197</v>
      </c>
      <c r="F35" s="247" t="n">
        <f aca="false">I_Cout_ss+C35</f>
        <v>3.55925925925926</v>
      </c>
      <c r="G35" s="248" t="n">
        <f aca="false">IF($F$2="YES", F35, E35)</f>
        <v>3.55925925925926</v>
      </c>
      <c r="H35" s="247" t="n">
        <f aca="false">G35-C35</f>
        <v>3.25925925925926</v>
      </c>
      <c r="I35" s="249" t="n">
        <f aca="false">(COUTMAX/1000000)*(B35-B34)/H35</f>
        <v>0.000590034965035051</v>
      </c>
      <c r="J35" s="250" t="n">
        <f aca="false">J34+I35</f>
        <v>0.0147508741258742</v>
      </c>
      <c r="K35" s="244" t="n">
        <f aca="false">J35*1000</f>
        <v>14.7508741258742</v>
      </c>
      <c r="L35" s="239" t="n">
        <f aca="false">H35/G35</f>
        <v>0.915712799167534</v>
      </c>
      <c r="M35" s="23" t="n">
        <f aca="false">1/COUTMAX*(E35/2-C35)*1000</f>
        <v>1.58892169780246</v>
      </c>
      <c r="N35" s="23" t="n">
        <f aca="false">I35*G35*(A35-B35)</f>
        <v>0.0797629353819374</v>
      </c>
      <c r="O35" s="23" t="n">
        <f aca="false">G35*(A35-B35)</f>
        <v>135.183404558404</v>
      </c>
      <c r="P35" s="23" t="n">
        <f aca="false">(A35-B35)*(I_Cout_ss*$Q$2+C35)</f>
        <v>208.331552706552</v>
      </c>
      <c r="Q35" s="23" t="n">
        <f aca="false">(A35-B35)*(I_Cout_ss*$R$2+C35)</f>
        <v>95.7959401709401</v>
      </c>
    </row>
    <row r="36" customFormat="false" ht="12.75" hidden="false" customHeight="false" outlineLevel="0" collapsed="false">
      <c r="A36" s="23" t="n">
        <f aca="false">VINMAX</f>
        <v>50</v>
      </c>
      <c r="B36" s="246" t="n">
        <f aca="false">VINMAX*((ROW()-10)/104)</f>
        <v>12.5</v>
      </c>
      <c r="C36" s="247" t="n">
        <f aca="false">IF(B36&gt;=$H$2,IF($D$2="CC", $G$2, B36/$G$2), 0)</f>
        <v>0.3</v>
      </c>
      <c r="D36" s="248" t="n">
        <f aca="false">$B$2-B36*$J$2/($I$2*0.001)</f>
        <v>505.576208178439</v>
      </c>
      <c r="E36" s="248" t="n">
        <f aca="false">MIN(D36/(A36-B36),$C$2)</f>
        <v>13.4820322180917</v>
      </c>
      <c r="F36" s="247" t="n">
        <f aca="false">I_Cout_ss+C36</f>
        <v>3.55925925925926</v>
      </c>
      <c r="G36" s="248" t="n">
        <f aca="false">IF($F$2="YES", F36, E36)</f>
        <v>3.55925925925926</v>
      </c>
      <c r="H36" s="247" t="n">
        <f aca="false">G36-C36</f>
        <v>3.25925925925926</v>
      </c>
      <c r="I36" s="249" t="n">
        <f aca="false">(COUTMAX/1000000)*(B36-B35)/H36</f>
        <v>0.000590034965034927</v>
      </c>
      <c r="J36" s="250" t="n">
        <f aca="false">J35+I36</f>
        <v>0.0153409090909091</v>
      </c>
      <c r="K36" s="244" t="n">
        <f aca="false">J36*1000</f>
        <v>15.3409090909091</v>
      </c>
      <c r="L36" s="239" t="n">
        <f aca="false">H36/G36</f>
        <v>0.915712799167534</v>
      </c>
      <c r="M36" s="23" t="n">
        <f aca="false">1/COUTMAX*(E36/2-C36)*1000</f>
        <v>1.61025402726146</v>
      </c>
      <c r="N36" s="23" t="n">
        <f aca="false">I36*G36*(A36-B36)</f>
        <v>0.0787532779720229</v>
      </c>
      <c r="O36" s="23" t="n">
        <f aca="false">G36*(A36-B36)</f>
        <v>133.472222222222</v>
      </c>
      <c r="P36" s="23" t="n">
        <f aca="false">(A36-B36)*(I_Cout_ss*$Q$2+C36)</f>
        <v>205.694444444444</v>
      </c>
      <c r="Q36" s="23" t="n">
        <f aca="false">(A36-B36)*(I_Cout_ss*$R$2+C36)</f>
        <v>94.5833333333334</v>
      </c>
    </row>
    <row r="37" customFormat="false" ht="12.75" hidden="false" customHeight="false" outlineLevel="0" collapsed="false">
      <c r="A37" s="23" t="n">
        <f aca="false">VINMAX</f>
        <v>50</v>
      </c>
      <c r="B37" s="246" t="n">
        <f aca="false">VINMAX*((ROW()-10)/104)</f>
        <v>12.9807692307692</v>
      </c>
      <c r="C37" s="247" t="n">
        <f aca="false">IF(B37&gt;=$H$2,IF($D$2="CC", $G$2, B37/$G$2), 0)</f>
        <v>0.3</v>
      </c>
      <c r="D37" s="248" t="n">
        <f aca="false">$B$2-B37*$J$2/($I$2*0.001)</f>
        <v>505.576208178439</v>
      </c>
      <c r="E37" s="248" t="n">
        <f aca="false">MIN(D37/(A37-B37),$C$2)</f>
        <v>13.6571235455994</v>
      </c>
      <c r="F37" s="247" t="n">
        <f aca="false">I_Cout_ss+C37</f>
        <v>3.55925925925926</v>
      </c>
      <c r="G37" s="248" t="n">
        <f aca="false">IF($F$2="YES", F37, E37)</f>
        <v>3.55925925925926</v>
      </c>
      <c r="H37" s="247" t="n">
        <f aca="false">G37-C37</f>
        <v>3.25925925925926</v>
      </c>
      <c r="I37" s="249" t="n">
        <f aca="false">(COUTMAX/1000000)*(B37-B36)/H37</f>
        <v>0.000590034965034927</v>
      </c>
      <c r="J37" s="250" t="n">
        <f aca="false">J36+I37</f>
        <v>0.015930944055944</v>
      </c>
      <c r="K37" s="244" t="n">
        <f aca="false">J37*1000</f>
        <v>15.930944055944</v>
      </c>
      <c r="L37" s="239" t="n">
        <f aca="false">H37/G37</f>
        <v>0.915712799167534</v>
      </c>
      <c r="M37" s="23" t="n">
        <f aca="false">1/COUTMAX*(E37/2-C37)*1000</f>
        <v>1.63214044319992</v>
      </c>
      <c r="N37" s="23" t="n">
        <f aca="false">I37*G37*(A37-B37)</f>
        <v>0.0777436205621252</v>
      </c>
      <c r="O37" s="23" t="n">
        <f aca="false">G37*(A37-B37)</f>
        <v>131.76103988604</v>
      </c>
      <c r="P37" s="23" t="n">
        <f aca="false">(A37-B37)*(I_Cout_ss*$Q$2+C37)</f>
        <v>203.057336182336</v>
      </c>
      <c r="Q37" s="23" t="n">
        <f aca="false">(A37-B37)*(I_Cout_ss*$R$2+C37)</f>
        <v>93.3707264957266</v>
      </c>
    </row>
    <row r="38" customFormat="false" ht="12.75" hidden="false" customHeight="false" outlineLevel="0" collapsed="false">
      <c r="A38" s="23" t="n">
        <f aca="false">VINMAX</f>
        <v>50</v>
      </c>
      <c r="B38" s="246" t="n">
        <f aca="false">VINMAX*((ROW()-10)/104)</f>
        <v>13.4615384615385</v>
      </c>
      <c r="C38" s="247" t="n">
        <f aca="false">IF(B38&gt;=$H$2,IF($D$2="CC", $G$2, B38/$G$2), 0)</f>
        <v>0.3</v>
      </c>
      <c r="D38" s="248" t="n">
        <f aca="false">$B$2-B38*$J$2/($I$2*0.001)</f>
        <v>505.576208178439</v>
      </c>
      <c r="E38" s="248" t="n">
        <f aca="false">MIN(D38/(A38-B38),$C$2)</f>
        <v>13.8368225396204</v>
      </c>
      <c r="F38" s="247" t="n">
        <f aca="false">I_Cout_ss+C38</f>
        <v>3.55925925925926</v>
      </c>
      <c r="G38" s="248" t="n">
        <f aca="false">IF($F$2="YES", F38, E38)</f>
        <v>3.55925925925926</v>
      </c>
      <c r="H38" s="247" t="n">
        <f aca="false">G38-C38</f>
        <v>3.25925925925926</v>
      </c>
      <c r="I38" s="249" t="n">
        <f aca="false">(COUTMAX/1000000)*(B38-B37)/H38</f>
        <v>0.000590034965035051</v>
      </c>
      <c r="J38" s="250" t="n">
        <f aca="false">J37+I38</f>
        <v>0.0165209790209791</v>
      </c>
      <c r="K38" s="244" t="n">
        <f aca="false">J38*1000</f>
        <v>16.5209790209791</v>
      </c>
      <c r="L38" s="239" t="n">
        <f aca="false">H38/G38</f>
        <v>0.915712799167534</v>
      </c>
      <c r="M38" s="23" t="n">
        <f aca="false">1/COUTMAX*(E38/2-C38)*1000</f>
        <v>1.65460281745256</v>
      </c>
      <c r="N38" s="23" t="n">
        <f aca="false">I38*G38*(A38-B38)</f>
        <v>0.0767339631522435</v>
      </c>
      <c r="O38" s="23" t="n">
        <f aca="false">G38*(A38-B38)</f>
        <v>130.049857549857</v>
      </c>
      <c r="P38" s="23" t="n">
        <f aca="false">(A38-B38)*(I_Cout_ss*$Q$2+C38)</f>
        <v>200.420227920228</v>
      </c>
      <c r="Q38" s="23" t="n">
        <f aca="false">(A38-B38)*(I_Cout_ss*$R$2+C38)</f>
        <v>92.1581196581196</v>
      </c>
    </row>
    <row r="39" customFormat="false" ht="12.75" hidden="false" customHeight="false" outlineLevel="0" collapsed="false">
      <c r="A39" s="23" t="n">
        <f aca="false">VINMAX</f>
        <v>50</v>
      </c>
      <c r="B39" s="246" t="n">
        <f aca="false">VINMAX*((ROW()-10)/104)</f>
        <v>13.9423076923077</v>
      </c>
      <c r="C39" s="247" t="n">
        <f aca="false">IF(B39&gt;=$H$2,IF($D$2="CC", $G$2, B39/$G$2), 0)</f>
        <v>0.3</v>
      </c>
      <c r="D39" s="248" t="n">
        <f aca="false">$B$2-B39*$J$2/($I$2*0.001)</f>
        <v>505.576208178439</v>
      </c>
      <c r="E39" s="248" t="n">
        <f aca="false">MIN(D39/(A39-B39),$C$2)</f>
        <v>14.0213135068154</v>
      </c>
      <c r="F39" s="247" t="n">
        <f aca="false">I_Cout_ss+C39</f>
        <v>3.55925925925926</v>
      </c>
      <c r="G39" s="248" t="n">
        <f aca="false">IF($F$2="YES", F39, E39)</f>
        <v>3.55925925925926</v>
      </c>
      <c r="H39" s="247" t="n">
        <f aca="false">G39-C39</f>
        <v>3.25925925925926</v>
      </c>
      <c r="I39" s="249" t="n">
        <f aca="false">(COUTMAX/1000000)*(B39-B38)/H39</f>
        <v>0.000590034965034927</v>
      </c>
      <c r="J39" s="250" t="n">
        <f aca="false">J38+I39</f>
        <v>0.017111013986014</v>
      </c>
      <c r="K39" s="244" t="n">
        <f aca="false">J39*1000</f>
        <v>17.111013986014</v>
      </c>
      <c r="L39" s="239" t="n">
        <f aca="false">H39/G39</f>
        <v>0.915712799167534</v>
      </c>
      <c r="M39" s="23" t="n">
        <f aca="false">1/COUTMAX*(E39/2-C39)*1000</f>
        <v>1.67766418835192</v>
      </c>
      <c r="N39" s="23" t="n">
        <f aca="false">I39*G39*(A39-B39)</f>
        <v>0.0757243057423297</v>
      </c>
      <c r="O39" s="23" t="n">
        <f aca="false">G39*(A39-B39)</f>
        <v>128.338675213675</v>
      </c>
      <c r="P39" s="23" t="n">
        <f aca="false">(A39-B39)*(I_Cout_ss*$Q$2+C39)</f>
        <v>197.78311965812</v>
      </c>
      <c r="Q39" s="23" t="n">
        <f aca="false">(A39-B39)*(I_Cout_ss*$R$2+C39)</f>
        <v>90.9455128205128</v>
      </c>
    </row>
    <row r="40" customFormat="false" ht="12.75" hidden="false" customHeight="false" outlineLevel="0" collapsed="false">
      <c r="A40" s="23" t="n">
        <f aca="false">VINMAX</f>
        <v>50</v>
      </c>
      <c r="B40" s="246" t="n">
        <f aca="false">VINMAX*((ROW()-10)/104)</f>
        <v>14.4230769230769</v>
      </c>
      <c r="C40" s="247" t="n">
        <f aca="false">IF(B40&gt;=$H$2,IF($D$2="CC", $G$2, B40/$G$2), 0)</f>
        <v>0.3</v>
      </c>
      <c r="D40" s="248" t="n">
        <f aca="false">$B$2-B40*$J$2/($I$2*0.001)</f>
        <v>505.576208178439</v>
      </c>
      <c r="E40" s="248" t="n">
        <f aca="false">MIN(D40/(A40-B40),$C$2)</f>
        <v>14.2107907163669</v>
      </c>
      <c r="F40" s="247" t="n">
        <f aca="false">I_Cout_ss+C40</f>
        <v>3.55925925925926</v>
      </c>
      <c r="G40" s="248" t="n">
        <f aca="false">IF($F$2="YES", F40, E40)</f>
        <v>3.55925925925926</v>
      </c>
      <c r="H40" s="247" t="n">
        <f aca="false">G40-C40</f>
        <v>3.25925925925926</v>
      </c>
      <c r="I40" s="249" t="n">
        <f aca="false">(COUTMAX/1000000)*(B40-B39)/H40</f>
        <v>0.000590034965034927</v>
      </c>
      <c r="J40" s="250" t="n">
        <f aca="false">J39+I40</f>
        <v>0.0177010489510489</v>
      </c>
      <c r="K40" s="244" t="n">
        <f aca="false">J40*1000</f>
        <v>17.7010489510489</v>
      </c>
      <c r="L40" s="239" t="n">
        <f aca="false">H40/G40</f>
        <v>0.915712799167534</v>
      </c>
      <c r="M40" s="23" t="n">
        <f aca="false">1/COUTMAX*(E40/2-C40)*1000</f>
        <v>1.70134883954586</v>
      </c>
      <c r="N40" s="23" t="n">
        <f aca="false">I40*G40*(A40-B40)</f>
        <v>0.074714648332432</v>
      </c>
      <c r="O40" s="23" t="n">
        <f aca="false">G40*(A40-B40)</f>
        <v>126.627492877493</v>
      </c>
      <c r="P40" s="23" t="n">
        <f aca="false">(A40-B40)*(I_Cout_ss*$Q$2+C40)</f>
        <v>195.146011396011</v>
      </c>
      <c r="Q40" s="23" t="n">
        <f aca="false">(A40-B40)*(I_Cout_ss*$R$2+C40)</f>
        <v>89.7329059829061</v>
      </c>
    </row>
    <row r="41" customFormat="false" ht="12.75" hidden="false" customHeight="false" outlineLevel="0" collapsed="false">
      <c r="A41" s="23" t="n">
        <f aca="false">VINMAX</f>
        <v>50</v>
      </c>
      <c r="B41" s="246" t="n">
        <f aca="false">VINMAX*((ROW()-10)/104)</f>
        <v>14.9038461538462</v>
      </c>
      <c r="C41" s="247" t="n">
        <f aca="false">IF(B41&gt;=$H$2,IF($D$2="CC", $G$2, B41/$G$2), 0)</f>
        <v>0.3</v>
      </c>
      <c r="D41" s="248" t="n">
        <f aca="false">$B$2-B41*$J$2/($I$2*0.001)</f>
        <v>505.576208178439</v>
      </c>
      <c r="E41" s="248" t="n">
        <f aca="false">MIN(D41/(A41-B41),$C$2)</f>
        <v>14.4054590823446</v>
      </c>
      <c r="F41" s="247" t="n">
        <f aca="false">I_Cout_ss+C41</f>
        <v>3.55925925925926</v>
      </c>
      <c r="G41" s="248" t="n">
        <f aca="false">IF($F$2="YES", F41, E41)</f>
        <v>3.55925925925926</v>
      </c>
      <c r="H41" s="247" t="n">
        <f aca="false">G41-C41</f>
        <v>3.25925925925926</v>
      </c>
      <c r="I41" s="249" t="n">
        <f aca="false">(COUTMAX/1000000)*(B41-B40)/H41</f>
        <v>0.000590034965035049</v>
      </c>
      <c r="J41" s="250" t="n">
        <f aca="false">J40+I41</f>
        <v>0.018291083916084</v>
      </c>
      <c r="K41" s="244" t="n">
        <f aca="false">J41*1000</f>
        <v>18.291083916084</v>
      </c>
      <c r="L41" s="239" t="n">
        <f aca="false">H41/G41</f>
        <v>0.915712799167534</v>
      </c>
      <c r="M41" s="23" t="n">
        <f aca="false">1/COUTMAX*(E41/2-C41)*1000</f>
        <v>1.72568238529307</v>
      </c>
      <c r="N41" s="23" t="n">
        <f aca="false">I41*G41*(A41-B41)</f>
        <v>0.0737049909225494</v>
      </c>
      <c r="O41" s="23" t="n">
        <f aca="false">G41*(A41-B41)</f>
        <v>124.91631054131</v>
      </c>
      <c r="P41" s="23" t="n">
        <f aca="false">(A41-B41)*(I_Cout_ss*$Q$2+C41)</f>
        <v>192.508903133903</v>
      </c>
      <c r="Q41" s="23" t="n">
        <f aca="false">(A41-B41)*(I_Cout_ss*$R$2+C41)</f>
        <v>88.520299145299</v>
      </c>
    </row>
    <row r="42" customFormat="false" ht="12.75" hidden="false" customHeight="false" outlineLevel="0" collapsed="false">
      <c r="A42" s="23" t="n">
        <f aca="false">VINMAX</f>
        <v>50</v>
      </c>
      <c r="B42" s="246" t="n">
        <f aca="false">VINMAX*((ROW()-10)/104)</f>
        <v>15.3846153846154</v>
      </c>
      <c r="C42" s="247" t="n">
        <f aca="false">IF(B42&gt;=$H$2,IF($D$2="CC", $G$2, B42/$G$2), 0)</f>
        <v>0.3</v>
      </c>
      <c r="D42" s="248" t="n">
        <f aca="false">$B$2-B42*$J$2/($I$2*0.001)</f>
        <v>505.576208178439</v>
      </c>
      <c r="E42" s="248" t="n">
        <f aca="false">MIN(D42/(A42-B42),$C$2)</f>
        <v>14.6055349029327</v>
      </c>
      <c r="F42" s="247" t="n">
        <f aca="false">I_Cout_ss+C42</f>
        <v>3.55925925925926</v>
      </c>
      <c r="G42" s="248" t="n">
        <f aca="false">IF($F$2="YES", F42, E42)</f>
        <v>3.55925925925926</v>
      </c>
      <c r="H42" s="247" t="n">
        <f aca="false">G42-C42</f>
        <v>3.25925925925926</v>
      </c>
      <c r="I42" s="249" t="n">
        <f aca="false">(COUTMAX/1000000)*(B42-B41)/H42</f>
        <v>0.000590034965034927</v>
      </c>
      <c r="J42" s="250" t="n">
        <f aca="false">J41+I42</f>
        <v>0.0188811188811189</v>
      </c>
      <c r="K42" s="244" t="n">
        <f aca="false">J42*1000</f>
        <v>18.8811188811189</v>
      </c>
      <c r="L42" s="239" t="n">
        <f aca="false">H42/G42</f>
        <v>0.915712799167534</v>
      </c>
      <c r="M42" s="23" t="n">
        <f aca="false">1/COUTMAX*(E42/2-C42)*1000</f>
        <v>1.75069186286658</v>
      </c>
      <c r="N42" s="23" t="n">
        <f aca="false">I42*G42*(A42-B42)</f>
        <v>0.0726953335126365</v>
      </c>
      <c r="O42" s="23" t="n">
        <f aca="false">G42*(A42-B42)</f>
        <v>123.205128205128</v>
      </c>
      <c r="P42" s="23" t="n">
        <f aca="false">(A42-B42)*(I_Cout_ss*$Q$2+C42)</f>
        <v>189.871794871795</v>
      </c>
      <c r="Q42" s="23" t="n">
        <f aca="false">(A42-B42)*(I_Cout_ss*$R$2+C42)</f>
        <v>87.3076923076923</v>
      </c>
    </row>
    <row r="43" customFormat="false" ht="12.75" hidden="false" customHeight="false" outlineLevel="0" collapsed="false">
      <c r="A43" s="23" t="n">
        <f aca="false">VINMAX</f>
        <v>50</v>
      </c>
      <c r="B43" s="246" t="n">
        <f aca="false">VINMAX*((ROW()-10)/104)</f>
        <v>15.8653846153846</v>
      </c>
      <c r="C43" s="247" t="n">
        <f aca="false">IF(B43&gt;=$H$2,IF($D$2="CC", $G$2, B43/$G$2), 0)</f>
        <v>0.3</v>
      </c>
      <c r="D43" s="248" t="n">
        <f aca="false">$B$2-B43*$J$2/($I$2*0.001)</f>
        <v>505.576208178439</v>
      </c>
      <c r="E43" s="248" t="n">
        <f aca="false">MIN(D43/(A43-B43),$C$2)</f>
        <v>14.8112466621289</v>
      </c>
      <c r="F43" s="247" t="n">
        <f aca="false">I_Cout_ss+C43</f>
        <v>3.55925925925926</v>
      </c>
      <c r="G43" s="248" t="n">
        <f aca="false">IF($F$2="YES", F43, E43)</f>
        <v>3.55925925925926</v>
      </c>
      <c r="H43" s="247" t="n">
        <f aca="false">G43-C43</f>
        <v>3.25925925925926</v>
      </c>
      <c r="I43" s="249" t="n">
        <f aca="false">(COUTMAX/1000000)*(B43-B42)/H43</f>
        <v>0.000590034965034929</v>
      </c>
      <c r="J43" s="250" t="n">
        <f aca="false">J42+I43</f>
        <v>0.0194711538461538</v>
      </c>
      <c r="K43" s="244" t="n">
        <f aca="false">J43*1000</f>
        <v>19.4711538461538</v>
      </c>
      <c r="L43" s="239" t="n">
        <f aca="false">H43/G43</f>
        <v>0.915712799167534</v>
      </c>
      <c r="M43" s="23" t="n">
        <f aca="false">1/COUTMAX*(E43/2-C43)*1000</f>
        <v>1.77640583276611</v>
      </c>
      <c r="N43" s="23" t="n">
        <f aca="false">I43*G43*(A43-B43)</f>
        <v>0.0716856761027391</v>
      </c>
      <c r="O43" s="23" t="n">
        <f aca="false">G43*(A43-B43)</f>
        <v>121.493945868946</v>
      </c>
      <c r="P43" s="23" t="n">
        <f aca="false">(A43-B43)*(I_Cout_ss*$Q$2+C43)</f>
        <v>187.234686609687</v>
      </c>
      <c r="Q43" s="23" t="n">
        <f aca="false">(A43-B43)*(I_Cout_ss*$R$2+C43)</f>
        <v>86.0950854700855</v>
      </c>
    </row>
    <row r="44" customFormat="false" ht="12.75" hidden="false" customHeight="false" outlineLevel="0" collapsed="false">
      <c r="A44" s="23" t="n">
        <f aca="false">VINMAX</f>
        <v>50</v>
      </c>
      <c r="B44" s="246" t="n">
        <f aca="false">VINMAX*((ROW()-10)/104)</f>
        <v>16.3461538461538</v>
      </c>
      <c r="C44" s="247" t="n">
        <f aca="false">IF(B44&gt;=$H$2,IF($D$2="CC", $G$2, B44/$G$2), 0)</f>
        <v>0.3</v>
      </c>
      <c r="D44" s="248" t="n">
        <f aca="false">$B$2-B44*$J$2/($I$2*0.001)</f>
        <v>505.576208178439</v>
      </c>
      <c r="E44" s="248" t="n">
        <f aca="false">MIN(D44/(A44-B44),$C$2)</f>
        <v>15.0228359001593</v>
      </c>
      <c r="F44" s="247" t="n">
        <f aca="false">I_Cout_ss+C44</f>
        <v>3.55925925925926</v>
      </c>
      <c r="G44" s="248" t="n">
        <f aca="false">IF($F$2="YES", F44, E44)</f>
        <v>3.55925925925926</v>
      </c>
      <c r="H44" s="247" t="n">
        <f aca="false">G44-C44</f>
        <v>3.25925925925926</v>
      </c>
      <c r="I44" s="249" t="n">
        <f aca="false">(COUTMAX/1000000)*(B44-B43)/H44</f>
        <v>0.000590034965034927</v>
      </c>
      <c r="J44" s="250" t="n">
        <f aca="false">J43+I44</f>
        <v>0.0200611888111888</v>
      </c>
      <c r="K44" s="244" t="n">
        <f aca="false">J44*1000</f>
        <v>20.0611888111888</v>
      </c>
      <c r="L44" s="239" t="n">
        <f aca="false">H44/G44</f>
        <v>0.915712799167534</v>
      </c>
      <c r="M44" s="23" t="n">
        <f aca="false">1/COUTMAX*(E44/2-C44)*1000</f>
        <v>1.80285448751991</v>
      </c>
      <c r="N44" s="23" t="n">
        <f aca="false">I44*G44*(A44-B44)</f>
        <v>0.0706760186928412</v>
      </c>
      <c r="O44" s="23" t="n">
        <f aca="false">G44*(A44-B44)</f>
        <v>119.782763532764</v>
      </c>
      <c r="P44" s="23" t="n">
        <f aca="false">(A44-B44)*(I_Cout_ss*$Q$2+C44)</f>
        <v>184.597578347578</v>
      </c>
      <c r="Q44" s="23" t="n">
        <f aca="false">(A44-B44)*(I_Cout_ss*$R$2+C44)</f>
        <v>84.8824786324788</v>
      </c>
    </row>
    <row r="45" customFormat="false" ht="12.75" hidden="false" customHeight="false" outlineLevel="0" collapsed="false">
      <c r="A45" s="23" t="n">
        <f aca="false">VINMAX</f>
        <v>50</v>
      </c>
      <c r="B45" s="246" t="n">
        <f aca="false">VINMAX*((ROW()-10)/104)</f>
        <v>16.8269230769231</v>
      </c>
      <c r="C45" s="247" t="n">
        <f aca="false">IF(B45&gt;=$H$2,IF($D$2="CC", $G$2, B45/$G$2), 0)</f>
        <v>0.3</v>
      </c>
      <c r="D45" s="248" t="n">
        <f aca="false">$B$2-B45*$J$2/($I$2*0.001)</f>
        <v>505.576208178439</v>
      </c>
      <c r="E45" s="248" t="n">
        <f aca="false">MIN(D45/(A45-B45),$C$2)</f>
        <v>15.2405581595819</v>
      </c>
      <c r="F45" s="247" t="n">
        <f aca="false">I_Cout_ss+C45</f>
        <v>3.55925925925926</v>
      </c>
      <c r="G45" s="248" t="n">
        <f aca="false">IF($F$2="YES", F45, E45)</f>
        <v>3.55925925925926</v>
      </c>
      <c r="H45" s="247" t="n">
        <f aca="false">G45-C45</f>
        <v>3.25925925925926</v>
      </c>
      <c r="I45" s="249" t="n">
        <f aca="false">(COUTMAX/1000000)*(B45-B44)/H45</f>
        <v>0.000590034965035051</v>
      </c>
      <c r="J45" s="250" t="n">
        <f aca="false">J44+I45</f>
        <v>0.0206512237762238</v>
      </c>
      <c r="K45" s="244" t="n">
        <f aca="false">J45*1000</f>
        <v>20.6512237762238</v>
      </c>
      <c r="L45" s="239" t="n">
        <f aca="false">H45/G45</f>
        <v>0.915712799167534</v>
      </c>
      <c r="M45" s="23" t="n">
        <f aca="false">1/COUTMAX*(E45/2-C45)*1000</f>
        <v>1.83006976994774</v>
      </c>
      <c r="N45" s="23" t="n">
        <f aca="false">I45*G45*(A45-B45)</f>
        <v>0.069666361282958</v>
      </c>
      <c r="O45" s="23" t="n">
        <f aca="false">G45*(A45-B45)</f>
        <v>118.071581196581</v>
      </c>
      <c r="P45" s="23" t="n">
        <f aca="false">(A45-B45)*(I_Cout_ss*$Q$2+C45)</f>
        <v>181.96047008547</v>
      </c>
      <c r="Q45" s="23" t="n">
        <f aca="false">(A45-B45)*(I_Cout_ss*$R$2+C45)</f>
        <v>83.6698717948718</v>
      </c>
    </row>
    <row r="46" customFormat="false" ht="12.75" hidden="false" customHeight="false" outlineLevel="0" collapsed="false">
      <c r="A46" s="23" t="n">
        <f aca="false">VINMAX</f>
        <v>50</v>
      </c>
      <c r="B46" s="246" t="n">
        <f aca="false">VINMAX*((ROW()-10)/104)</f>
        <v>17.3076923076923</v>
      </c>
      <c r="C46" s="247" t="n">
        <f aca="false">IF(B46&gt;=$H$2,IF($D$2="CC", $G$2, B46/$G$2), 0)</f>
        <v>0.3</v>
      </c>
      <c r="D46" s="248" t="n">
        <f aca="false">$B$2-B46*$J$2/($I$2*0.001)</f>
        <v>505.576208178439</v>
      </c>
      <c r="E46" s="248" t="n">
        <f aca="false">MIN(D46/(A46-B46),$C$2)</f>
        <v>15.4646840148699</v>
      </c>
      <c r="F46" s="247" t="n">
        <f aca="false">I_Cout_ss+C46</f>
        <v>3.55925925925926</v>
      </c>
      <c r="G46" s="248" t="n">
        <f aca="false">IF($F$2="YES", F46, E46)</f>
        <v>3.55925925925926</v>
      </c>
      <c r="H46" s="247" t="n">
        <f aca="false">G46-C46</f>
        <v>3.25925925925926</v>
      </c>
      <c r="I46" s="249" t="n">
        <f aca="false">(COUTMAX/1000000)*(B46-B45)/H46</f>
        <v>0.000590034965034925</v>
      </c>
      <c r="J46" s="250" t="n">
        <f aca="false">J45+I46</f>
        <v>0.0212412587412587</v>
      </c>
      <c r="K46" s="244" t="n">
        <f aca="false">J46*1000</f>
        <v>21.2412587412587</v>
      </c>
      <c r="L46" s="239" t="n">
        <f aca="false">H46/G46</f>
        <v>0.915712799167534</v>
      </c>
      <c r="M46" s="23" t="n">
        <f aca="false">1/COUTMAX*(E46/2-C46)*1000</f>
        <v>1.85808550185874</v>
      </c>
      <c r="N46" s="23" t="n">
        <f aca="false">I46*G46*(A46-B46)</f>
        <v>0.0686567038730454</v>
      </c>
      <c r="O46" s="23" t="n">
        <f aca="false">G46*(A46-B46)</f>
        <v>116.360398860399</v>
      </c>
      <c r="P46" s="23" t="n">
        <f aca="false">(A46-B46)*(I_Cout_ss*$Q$2+C46)</f>
        <v>179.323361823362</v>
      </c>
      <c r="Q46" s="23" t="n">
        <f aca="false">(A46-B46)*(I_Cout_ss*$R$2+C46)</f>
        <v>82.457264957265</v>
      </c>
    </row>
    <row r="47" customFormat="false" ht="12.75" hidden="false" customHeight="false" outlineLevel="0" collapsed="false">
      <c r="A47" s="23" t="n">
        <f aca="false">VINMAX</f>
        <v>50</v>
      </c>
      <c r="B47" s="246" t="n">
        <f aca="false">VINMAX*((ROW()-10)/104)</f>
        <v>17.7884615384615</v>
      </c>
      <c r="C47" s="247" t="n">
        <f aca="false">IF(B47&gt;=$H$2,IF($D$2="CC", $G$2, B47/$G$2), 0)</f>
        <v>0.3</v>
      </c>
      <c r="D47" s="248" t="n">
        <f aca="false">$B$2-B47*$J$2/($I$2*0.001)</f>
        <v>505.576208178439</v>
      </c>
      <c r="E47" s="248" t="n">
        <f aca="false">MIN(D47/(A47-B47),$C$2)</f>
        <v>15.6955001941963</v>
      </c>
      <c r="F47" s="247" t="n">
        <f aca="false">I_Cout_ss+C47</f>
        <v>3.55925925925926</v>
      </c>
      <c r="G47" s="248" t="n">
        <f aca="false">IF($F$2="YES", F47, E47)</f>
        <v>3.55925925925926</v>
      </c>
      <c r="H47" s="247" t="n">
        <f aca="false">G47-C47</f>
        <v>3.25925925925926</v>
      </c>
      <c r="I47" s="249" t="n">
        <f aca="false">(COUTMAX/1000000)*(B47-B46)/H47</f>
        <v>0.000590034965034929</v>
      </c>
      <c r="J47" s="250" t="n">
        <f aca="false">J46+I47</f>
        <v>0.0218312937062937</v>
      </c>
      <c r="K47" s="244" t="n">
        <f aca="false">J47*1000</f>
        <v>21.8312937062937</v>
      </c>
      <c r="L47" s="239" t="n">
        <f aca="false">H47/G47</f>
        <v>0.915712799167534</v>
      </c>
      <c r="M47" s="23" t="n">
        <f aca="false">1/COUTMAX*(E47/2-C47)*1000</f>
        <v>1.88693752427454</v>
      </c>
      <c r="N47" s="23" t="n">
        <f aca="false">I47*G47*(A47-B47)</f>
        <v>0.0676470464631482</v>
      </c>
      <c r="O47" s="23" t="n">
        <f aca="false">G47*(A47-B47)</f>
        <v>114.649216524217</v>
      </c>
      <c r="P47" s="23" t="n">
        <f aca="false">(A47-B47)*(I_Cout_ss*$Q$2+C47)</f>
        <v>176.686253561254</v>
      </c>
      <c r="Q47" s="23" t="n">
        <f aca="false">(A47-B47)*(I_Cout_ss*$R$2+C47)</f>
        <v>81.2446581196582</v>
      </c>
    </row>
    <row r="48" customFormat="false" ht="12.75" hidden="false" customHeight="false" outlineLevel="0" collapsed="false">
      <c r="A48" s="23" t="n">
        <f aca="false">VINMAX</f>
        <v>50</v>
      </c>
      <c r="B48" s="246" t="n">
        <f aca="false">VINMAX*((ROW()-10)/104)</f>
        <v>18.2692307692308</v>
      </c>
      <c r="C48" s="247" t="n">
        <f aca="false">IF(B48&gt;=$H$2,IF($D$2="CC", $G$2, B48/$G$2), 0)</f>
        <v>0.3</v>
      </c>
      <c r="D48" s="248" t="n">
        <f aca="false">$B$2-B48*$J$2/($I$2*0.001)</f>
        <v>505.576208178439</v>
      </c>
      <c r="E48" s="248" t="n">
        <f aca="false">MIN(D48/(A48-B48),$C$2)</f>
        <v>15.9333108031993</v>
      </c>
      <c r="F48" s="247" t="n">
        <f aca="false">I_Cout_ss+C48</f>
        <v>3.55925925925926</v>
      </c>
      <c r="G48" s="248" t="n">
        <f aca="false">IF($F$2="YES", F48, E48)</f>
        <v>3.55925925925926</v>
      </c>
      <c r="H48" s="247" t="n">
        <f aca="false">G48-C48</f>
        <v>3.25925925925926</v>
      </c>
      <c r="I48" s="249" t="n">
        <f aca="false">(COUTMAX/1000000)*(B48-B47)/H48</f>
        <v>0.000590034965035047</v>
      </c>
      <c r="J48" s="250" t="n">
        <f aca="false">J47+I48</f>
        <v>0.0224213286713287</v>
      </c>
      <c r="K48" s="244" t="n">
        <f aca="false">J48*1000</f>
        <v>22.4213286713287</v>
      </c>
      <c r="L48" s="239" t="n">
        <f aca="false">H48/G48</f>
        <v>0.915712799167534</v>
      </c>
      <c r="M48" s="23" t="n">
        <f aca="false">1/COUTMAX*(E48/2-C48)*1000</f>
        <v>1.91666385039991</v>
      </c>
      <c r="N48" s="23" t="n">
        <f aca="false">I48*G48*(A48-B48)</f>
        <v>0.0666373890532636</v>
      </c>
      <c r="O48" s="23" t="n">
        <f aca="false">G48*(A48-B48)</f>
        <v>112.938034188034</v>
      </c>
      <c r="P48" s="23" t="n">
        <f aca="false">(A48-B48)*(I_Cout_ss*$Q$2+C48)</f>
        <v>174.049145299145</v>
      </c>
      <c r="Q48" s="23" t="n">
        <f aca="false">(A48-B48)*(I_Cout_ss*$R$2+C48)</f>
        <v>80.0320512820512</v>
      </c>
    </row>
    <row r="49" customFormat="false" ht="12.75" hidden="false" customHeight="false" outlineLevel="0" collapsed="false">
      <c r="A49" s="23" t="n">
        <f aca="false">VINMAX</f>
        <v>50</v>
      </c>
      <c r="B49" s="246" t="n">
        <f aca="false">VINMAX*((ROW()-10)/104)</f>
        <v>18.75</v>
      </c>
      <c r="C49" s="247" t="n">
        <f aca="false">IF(B49&gt;=$H$2,IF($D$2="CC", $G$2, B49/$G$2), 0)</f>
        <v>0.3</v>
      </c>
      <c r="D49" s="248" t="n">
        <f aca="false">$B$2-B49*$J$2/($I$2*0.001)</f>
        <v>505.576208178439</v>
      </c>
      <c r="E49" s="248" t="n">
        <f aca="false">MIN(D49/(A49-B49),$C$2)</f>
        <v>16.17843866171</v>
      </c>
      <c r="F49" s="247" t="n">
        <f aca="false">I_Cout_ss+C49</f>
        <v>3.55925925925926</v>
      </c>
      <c r="G49" s="248" t="n">
        <f aca="false">IF($F$2="YES", F49, E49)</f>
        <v>3.55925925925926</v>
      </c>
      <c r="H49" s="247" t="n">
        <f aca="false">G49-C49</f>
        <v>3.25925925925926</v>
      </c>
      <c r="I49" s="249" t="n">
        <f aca="false">(COUTMAX/1000000)*(B49-B48)/H49</f>
        <v>0.000590034965034929</v>
      </c>
      <c r="J49" s="250" t="n">
        <f aca="false">J48+I49</f>
        <v>0.0230113636363636</v>
      </c>
      <c r="K49" s="244" t="n">
        <f aca="false">J49*1000</f>
        <v>23.0113636363636</v>
      </c>
      <c r="L49" s="239" t="n">
        <f aca="false">H49/G49</f>
        <v>0.915712799167534</v>
      </c>
      <c r="M49" s="23" t="n">
        <f aca="false">1/COUTMAX*(E49/2-C49)*1000</f>
        <v>1.94730483271375</v>
      </c>
      <c r="N49" s="23" t="n">
        <f aca="false">I49*G49*(A49-B49)</f>
        <v>0.0656277316433526</v>
      </c>
      <c r="O49" s="23" t="n">
        <f aca="false">G49*(A49-B49)</f>
        <v>111.226851851852</v>
      </c>
      <c r="P49" s="23" t="n">
        <f aca="false">(A49-B49)*(I_Cout_ss*$Q$2+C49)</f>
        <v>171.412037037037</v>
      </c>
      <c r="Q49" s="23" t="n">
        <f aca="false">(A49-B49)*(I_Cout_ss*$R$2+C49)</f>
        <v>78.8194444444445</v>
      </c>
    </row>
    <row r="50" customFormat="false" ht="12.75" hidden="false" customHeight="false" outlineLevel="0" collapsed="false">
      <c r="A50" s="23" t="n">
        <f aca="false">VINMAX</f>
        <v>50</v>
      </c>
      <c r="B50" s="246" t="n">
        <f aca="false">VINMAX*((ROW()-10)/104)</f>
        <v>19.2307692307692</v>
      </c>
      <c r="C50" s="247" t="n">
        <f aca="false">IF(B50&gt;=$H$2,IF($D$2="CC", $G$2, B50/$G$2), 0)</f>
        <v>0.3</v>
      </c>
      <c r="D50" s="248" t="n">
        <f aca="false">$B$2-B50*$J$2/($I$2*0.001)</f>
        <v>505.576208178439</v>
      </c>
      <c r="E50" s="248" t="n">
        <f aca="false">MIN(D50/(A50-B50),$C$2)</f>
        <v>16.4312267657992</v>
      </c>
      <c r="F50" s="247" t="n">
        <f aca="false">I_Cout_ss+C50</f>
        <v>3.55925925925926</v>
      </c>
      <c r="G50" s="248" t="n">
        <f aca="false">IF($F$2="YES", F50, E50)</f>
        <v>3.55925925925926</v>
      </c>
      <c r="H50" s="247" t="n">
        <f aca="false">G50-C50</f>
        <v>3.25925925925926</v>
      </c>
      <c r="I50" s="249" t="n">
        <f aca="false">(COUTMAX/1000000)*(B50-B49)/H50</f>
        <v>0.000590034965034929</v>
      </c>
      <c r="J50" s="250" t="n">
        <f aca="false">J49+I50</f>
        <v>0.0236013986013986</v>
      </c>
      <c r="K50" s="244" t="n">
        <f aca="false">J50*1000</f>
        <v>23.6013986013986</v>
      </c>
      <c r="L50" s="239" t="n">
        <f aca="false">H50/G50</f>
        <v>0.915712799167534</v>
      </c>
      <c r="M50" s="23" t="n">
        <f aca="false">1/COUTMAX*(E50/2-C50)*1000</f>
        <v>1.97890334572491</v>
      </c>
      <c r="N50" s="23" t="n">
        <f aca="false">I50*G50*(A50-B50)</f>
        <v>0.064618074233455</v>
      </c>
      <c r="O50" s="23" t="n">
        <f aca="false">G50*(A50-B50)</f>
        <v>109.51566951567</v>
      </c>
      <c r="P50" s="23" t="n">
        <f aca="false">(A50-B50)*(I_Cout_ss*$Q$2+C50)</f>
        <v>168.774928774929</v>
      </c>
      <c r="Q50" s="23" t="n">
        <f aca="false">(A50-B50)*(I_Cout_ss*$R$2+C50)</f>
        <v>77.6068376068377</v>
      </c>
    </row>
    <row r="51" customFormat="false" ht="12.75" hidden="false" customHeight="false" outlineLevel="0" collapsed="false">
      <c r="A51" s="23" t="n">
        <f aca="false">VINMAX</f>
        <v>50</v>
      </c>
      <c r="B51" s="246" t="n">
        <f aca="false">VINMAX*((ROW()-10)/104)</f>
        <v>19.7115384615385</v>
      </c>
      <c r="C51" s="247" t="n">
        <f aca="false">IF(B51&gt;=$H$2,IF($D$2="CC", $G$2, B51/$G$2), 0)</f>
        <v>0.3</v>
      </c>
      <c r="D51" s="248" t="n">
        <f aca="false">$B$2-B51*$J$2/($I$2*0.001)</f>
        <v>505.576208178439</v>
      </c>
      <c r="E51" s="248" t="n">
        <f aca="false">MIN(D51/(A51-B51),$C$2)</f>
        <v>16.6920398890659</v>
      </c>
      <c r="F51" s="247" t="n">
        <f aca="false">I_Cout_ss+C51</f>
        <v>3.55925925925926</v>
      </c>
      <c r="G51" s="248" t="n">
        <f aca="false">IF($F$2="YES", F51, E51)</f>
        <v>3.55925925925926</v>
      </c>
      <c r="H51" s="247" t="n">
        <f aca="false">G51-C51</f>
        <v>3.25925925925926</v>
      </c>
      <c r="I51" s="249" t="n">
        <f aca="false">(COUTMAX/1000000)*(B51-B50)/H51</f>
        <v>0.000590034965035047</v>
      </c>
      <c r="J51" s="250" t="n">
        <f aca="false">J50+I51</f>
        <v>0.0241914335664336</v>
      </c>
      <c r="K51" s="244" t="n">
        <f aca="false">J51*1000</f>
        <v>24.1914335664336</v>
      </c>
      <c r="L51" s="239" t="n">
        <f aca="false">H51/G51</f>
        <v>0.915712799167534</v>
      </c>
      <c r="M51" s="23" t="n">
        <f aca="false">1/COUTMAX*(E51/2-C51)*1000</f>
        <v>2.01150498613324</v>
      </c>
      <c r="N51" s="23" t="n">
        <f aca="false">I51*G51*(A51-B51)</f>
        <v>0.0636084168235698</v>
      </c>
      <c r="O51" s="23" t="n">
        <f aca="false">G51*(A51-B51)</f>
        <v>107.804487179487</v>
      </c>
      <c r="P51" s="23" t="n">
        <f aca="false">(A51-B51)*(I_Cout_ss*$Q$2+C51)</f>
        <v>166.13782051282</v>
      </c>
      <c r="Q51" s="23" t="n">
        <f aca="false">(A51-B51)*(I_Cout_ss*$R$2+C51)</f>
        <v>76.3942307692307</v>
      </c>
    </row>
    <row r="52" customFormat="false" ht="12.75" hidden="false" customHeight="false" outlineLevel="0" collapsed="false">
      <c r="A52" s="23" t="n">
        <f aca="false">VINMAX</f>
        <v>50</v>
      </c>
      <c r="B52" s="246" t="n">
        <f aca="false">VINMAX*((ROW()-10)/104)</f>
        <v>20.1923076923077</v>
      </c>
      <c r="C52" s="247" t="n">
        <f aca="false">IF(B52&gt;=$H$2,IF($D$2="CC", $G$2, B52/$G$2), 0)</f>
        <v>0.3</v>
      </c>
      <c r="D52" s="248" t="n">
        <f aca="false">$B$2-B52*$J$2/($I$2*0.001)</f>
        <v>505.576208178439</v>
      </c>
      <c r="E52" s="248" t="n">
        <f aca="false">MIN(D52/(A52-B52),$C$2)</f>
        <v>16.9612663388896</v>
      </c>
      <c r="F52" s="247" t="n">
        <f aca="false">I_Cout_ss+C52</f>
        <v>3.55925925925926</v>
      </c>
      <c r="G52" s="248" t="n">
        <f aca="false">IF($F$2="YES", F52, E52)</f>
        <v>3.55925925925926</v>
      </c>
      <c r="H52" s="247" t="n">
        <f aca="false">G52-C52</f>
        <v>3.25925925925926</v>
      </c>
      <c r="I52" s="249" t="n">
        <f aca="false">(COUTMAX/1000000)*(B52-B51)/H52</f>
        <v>0.000590034965034929</v>
      </c>
      <c r="J52" s="250" t="n">
        <f aca="false">J51+I52</f>
        <v>0.0247814685314686</v>
      </c>
      <c r="K52" s="244" t="n">
        <f aca="false">J52*1000</f>
        <v>24.7814685314686</v>
      </c>
      <c r="L52" s="239" t="n">
        <f aca="false">H52/G52</f>
        <v>0.915712799167534</v>
      </c>
      <c r="M52" s="23" t="n">
        <f aca="false">1/COUTMAX*(E52/2-C52)*1000</f>
        <v>2.04515829236119</v>
      </c>
      <c r="N52" s="23" t="n">
        <f aca="false">I52*G52*(A52-B52)</f>
        <v>0.0625987594136594</v>
      </c>
      <c r="O52" s="23" t="n">
        <f aca="false">G52*(A52-B52)</f>
        <v>106.093304843305</v>
      </c>
      <c r="P52" s="23" t="n">
        <f aca="false">(A52-B52)*(I_Cout_ss*$Q$2+C52)</f>
        <v>163.500712250712</v>
      </c>
      <c r="Q52" s="23" t="n">
        <f aca="false">(A52-B52)*(I_Cout_ss*$R$2+C52)</f>
        <v>75.1816239316239</v>
      </c>
    </row>
    <row r="53" customFormat="false" ht="12.75" hidden="false" customHeight="false" outlineLevel="0" collapsed="false">
      <c r="A53" s="23" t="n">
        <f aca="false">VINMAX</f>
        <v>50</v>
      </c>
      <c r="B53" s="246" t="n">
        <f aca="false">VINMAX*((ROW()-10)/104)</f>
        <v>20.6730769230769</v>
      </c>
      <c r="C53" s="247" t="n">
        <f aca="false">IF(B53&gt;=$H$2,IF($D$2="CC", $G$2, B53/$G$2), 0)</f>
        <v>0.3</v>
      </c>
      <c r="D53" s="248" t="n">
        <f aca="false">$B$2-B53*$J$2/($I$2*0.001)</f>
        <v>505.576208178439</v>
      </c>
      <c r="E53" s="248" t="n">
        <f aca="false">MIN(D53/(A53-B53),$C$2)</f>
        <v>17.2393198854287</v>
      </c>
      <c r="F53" s="247" t="n">
        <f aca="false">I_Cout_ss+C53</f>
        <v>3.55925925925926</v>
      </c>
      <c r="G53" s="248" t="n">
        <f aca="false">IF($F$2="YES", F53, E53)</f>
        <v>3.55925925925926</v>
      </c>
      <c r="H53" s="247" t="n">
        <f aca="false">G53-C53</f>
        <v>3.25925925925926</v>
      </c>
      <c r="I53" s="249" t="n">
        <f aca="false">(COUTMAX/1000000)*(B53-B52)/H53</f>
        <v>0.000590034965034925</v>
      </c>
      <c r="J53" s="250" t="n">
        <f aca="false">J52+I53</f>
        <v>0.0253715034965035</v>
      </c>
      <c r="K53" s="244" t="n">
        <f aca="false">J53*1000</f>
        <v>25.3715034965035</v>
      </c>
      <c r="L53" s="239" t="n">
        <f aca="false">H53/G53</f>
        <v>0.915712799167534</v>
      </c>
      <c r="M53" s="23" t="n">
        <f aca="false">1/COUTMAX*(E53/2-C53)*1000</f>
        <v>2.07991498567859</v>
      </c>
      <c r="N53" s="23" t="n">
        <f aca="false">I53*G53*(A53-B53)</f>
        <v>0.0615891020037613</v>
      </c>
      <c r="O53" s="23" t="n">
        <f aca="false">G53*(A53-B53)</f>
        <v>104.382122507123</v>
      </c>
      <c r="P53" s="23" t="n">
        <f aca="false">(A53-B53)*(I_Cout_ss*$Q$2+C53)</f>
        <v>160.863603988604</v>
      </c>
      <c r="Q53" s="23" t="n">
        <f aca="false">(A53-B53)*(I_Cout_ss*$R$2+C53)</f>
        <v>73.9690170940172</v>
      </c>
    </row>
    <row r="54" customFormat="false" ht="12.75" hidden="false" customHeight="false" outlineLevel="0" collapsed="false">
      <c r="A54" s="23" t="n">
        <f aca="false">VINMAX</f>
        <v>50</v>
      </c>
      <c r="B54" s="246" t="n">
        <f aca="false">VINMAX*((ROW()-10)/104)</f>
        <v>21.1538461538462</v>
      </c>
      <c r="C54" s="247" t="n">
        <f aca="false">IF(B54&gt;=$H$2,IF($D$2="CC", $G$2, B54/$G$2), 0)</f>
        <v>0.3</v>
      </c>
      <c r="D54" s="248" t="n">
        <f aca="false">$B$2-B54*$J$2/($I$2*0.001)</f>
        <v>505.576208178439</v>
      </c>
      <c r="E54" s="248" t="n">
        <f aca="false">MIN(D54/(A54-B54),$C$2)</f>
        <v>17.5266418835192</v>
      </c>
      <c r="F54" s="247" t="n">
        <f aca="false">I_Cout_ss+C54</f>
        <v>3.55925925925926</v>
      </c>
      <c r="G54" s="248" t="n">
        <f aca="false">IF($F$2="YES", F54, E54)</f>
        <v>3.55925925925926</v>
      </c>
      <c r="H54" s="247" t="n">
        <f aca="false">G54-C54</f>
        <v>3.25925925925926</v>
      </c>
      <c r="I54" s="249" t="n">
        <f aca="false">(COUTMAX/1000000)*(B54-B53)/H54</f>
        <v>0.000590034965035051</v>
      </c>
      <c r="J54" s="250" t="n">
        <f aca="false">J53+I54</f>
        <v>0.0259615384615385</v>
      </c>
      <c r="K54" s="244" t="n">
        <f aca="false">J54*1000</f>
        <v>25.9615384615385</v>
      </c>
      <c r="L54" s="239" t="n">
        <f aca="false">H54/G54</f>
        <v>0.915712799167534</v>
      </c>
      <c r="M54" s="23" t="n">
        <f aca="false">1/COUTMAX*(E54/2-C54)*1000</f>
        <v>2.1158302354399</v>
      </c>
      <c r="N54" s="23" t="n">
        <f aca="false">I54*G54*(A54-B54)</f>
        <v>0.0605794445938764</v>
      </c>
      <c r="O54" s="23" t="n">
        <f aca="false">G54*(A54-B54)</f>
        <v>102.67094017094</v>
      </c>
      <c r="P54" s="23" t="n">
        <f aca="false">(A54-B54)*(I_Cout_ss*$Q$2+C54)</f>
        <v>158.226495726495</v>
      </c>
      <c r="Q54" s="23" t="n">
        <f aca="false">(A54-B54)*(I_Cout_ss*$R$2+C54)</f>
        <v>72.7564102564102</v>
      </c>
    </row>
    <row r="55" customFormat="false" ht="12.75" hidden="false" customHeight="false" outlineLevel="0" collapsed="false">
      <c r="A55" s="23" t="n">
        <f aca="false">VINMAX</f>
        <v>50</v>
      </c>
      <c r="B55" s="246" t="n">
        <f aca="false">VINMAX*((ROW()-10)/104)</f>
        <v>21.6346153846154</v>
      </c>
      <c r="C55" s="247" t="n">
        <f aca="false">IF(B55&gt;=$H$2,IF($D$2="CC", $G$2, B55/$G$2), 0)</f>
        <v>0.3</v>
      </c>
      <c r="D55" s="248" t="n">
        <f aca="false">$B$2-B55*$J$2/($I$2*0.001)</f>
        <v>505.576208178439</v>
      </c>
      <c r="E55" s="248" t="n">
        <f aca="false">MIN(D55/(A55-B55),$C$2)</f>
        <v>17.8237036103585</v>
      </c>
      <c r="F55" s="247" t="n">
        <f aca="false">I_Cout_ss+C55</f>
        <v>3.55925925925926</v>
      </c>
      <c r="G55" s="248" t="n">
        <f aca="false">IF($F$2="YES", F55, E55)</f>
        <v>3.55925925925926</v>
      </c>
      <c r="H55" s="247" t="n">
        <f aca="false">G55-C55</f>
        <v>3.25925925925926</v>
      </c>
      <c r="I55" s="249" t="n">
        <f aca="false">(COUTMAX/1000000)*(B55-B54)/H55</f>
        <v>0.000590034965034929</v>
      </c>
      <c r="J55" s="250" t="n">
        <f aca="false">J54+I55</f>
        <v>0.0265515734265735</v>
      </c>
      <c r="K55" s="244" t="n">
        <f aca="false">J55*1000</f>
        <v>26.5515734265735</v>
      </c>
      <c r="L55" s="239" t="n">
        <f aca="false">H55/G55</f>
        <v>0.915712799167534</v>
      </c>
      <c r="M55" s="23" t="n">
        <f aca="false">1/COUTMAX*(E55/2-C55)*1000</f>
        <v>2.15296295129482</v>
      </c>
      <c r="N55" s="23" t="n">
        <f aca="false">I55*G55*(A55-B55)</f>
        <v>0.0595697871839662</v>
      </c>
      <c r="O55" s="23" t="n">
        <f aca="false">G55*(A55-B55)</f>
        <v>100.959757834758</v>
      </c>
      <c r="P55" s="23" t="n">
        <f aca="false">(A55-B55)*(I_Cout_ss*$Q$2+C55)</f>
        <v>155.589387464387</v>
      </c>
      <c r="Q55" s="23" t="n">
        <f aca="false">(A55-B55)*(I_Cout_ss*$R$2+C55)</f>
        <v>71.5438034188034</v>
      </c>
    </row>
    <row r="56" customFormat="false" ht="12.75" hidden="false" customHeight="false" outlineLevel="0" collapsed="false">
      <c r="A56" s="23" t="n">
        <f aca="false">VINMAX</f>
        <v>50</v>
      </c>
      <c r="B56" s="246" t="n">
        <f aca="false">VINMAX*((ROW()-10)/104)</f>
        <v>22.1153846153846</v>
      </c>
      <c r="C56" s="247" t="n">
        <f aca="false">IF(B56&gt;=$H$2,IF($D$2="CC", $G$2, B56/$G$2), 0)</f>
        <v>0.3</v>
      </c>
      <c r="D56" s="248" t="n">
        <f aca="false">$B$2-B56*$J$2/($I$2*0.001)</f>
        <v>505.576208178439</v>
      </c>
      <c r="E56" s="248" t="n">
        <f aca="false">MIN(D56/(A56-B56),$C$2)</f>
        <v>18.1310088450199</v>
      </c>
      <c r="F56" s="247" t="n">
        <f aca="false">I_Cout_ss+C56</f>
        <v>3.55925925925926</v>
      </c>
      <c r="G56" s="248" t="n">
        <f aca="false">IF($F$2="YES", F56, E56)</f>
        <v>3.55925925925926</v>
      </c>
      <c r="H56" s="247" t="n">
        <f aca="false">G56-C56</f>
        <v>3.25925925925926</v>
      </c>
      <c r="I56" s="249" t="n">
        <f aca="false">(COUTMAX/1000000)*(B56-B55)/H56</f>
        <v>0.000590034965034925</v>
      </c>
      <c r="J56" s="250" t="n">
        <f aca="false">J55+I56</f>
        <v>0.0271416083916084</v>
      </c>
      <c r="K56" s="244" t="n">
        <f aca="false">J56*1000</f>
        <v>27.1416083916084</v>
      </c>
      <c r="L56" s="239" t="n">
        <f aca="false">H56/G56</f>
        <v>0.915712799167534</v>
      </c>
      <c r="M56" s="23" t="n">
        <f aca="false">1/COUTMAX*(E56/2-C56)*1000</f>
        <v>2.19137610562748</v>
      </c>
      <c r="N56" s="23" t="n">
        <f aca="false">I56*G56*(A56-B56)</f>
        <v>0.0585601297740681</v>
      </c>
      <c r="O56" s="23" t="n">
        <f aca="false">G56*(A56-B56)</f>
        <v>99.2485754985756</v>
      </c>
      <c r="P56" s="23" t="n">
        <f aca="false">(A56-B56)*(I_Cout_ss*$Q$2+C56)</f>
        <v>152.952279202279</v>
      </c>
      <c r="Q56" s="23" t="n">
        <f aca="false">(A56-B56)*(I_Cout_ss*$R$2+C56)</f>
        <v>70.3311965811966</v>
      </c>
    </row>
    <row r="57" customFormat="false" ht="12.75" hidden="false" customHeight="false" outlineLevel="0" collapsed="false">
      <c r="A57" s="23" t="n">
        <f aca="false">VINMAX</f>
        <v>50</v>
      </c>
      <c r="B57" s="246" t="n">
        <f aca="false">VINMAX*((ROW()-10)/104)</f>
        <v>22.5961538461538</v>
      </c>
      <c r="C57" s="247" t="n">
        <f aca="false">IF(B57&gt;=$H$2,IF($D$2="CC", $G$2, B57/$G$2), 0)</f>
        <v>0.3</v>
      </c>
      <c r="D57" s="248" t="n">
        <f aca="false">$B$2-B57*$J$2/($I$2*0.001)</f>
        <v>505.576208178439</v>
      </c>
      <c r="E57" s="248" t="n">
        <f aca="false">MIN(D57/(A57-B57),$C$2)</f>
        <v>18.4490967194939</v>
      </c>
      <c r="F57" s="247" t="n">
        <f aca="false">I_Cout_ss+C57</f>
        <v>3.55925925925926</v>
      </c>
      <c r="G57" s="248" t="n">
        <f aca="false">IF($F$2="YES", F57, E57)</f>
        <v>3.55925925925926</v>
      </c>
      <c r="H57" s="247" t="n">
        <f aca="false">G57-C57</f>
        <v>3.25925925925926</v>
      </c>
      <c r="I57" s="249" t="n">
        <f aca="false">(COUTMAX/1000000)*(B57-B56)/H57</f>
        <v>0.000590034965034929</v>
      </c>
      <c r="J57" s="250" t="n">
        <f aca="false">J56+I57</f>
        <v>0.0277316433566433</v>
      </c>
      <c r="K57" s="244" t="n">
        <f aca="false">J57*1000</f>
        <v>27.7316433566433</v>
      </c>
      <c r="L57" s="239" t="n">
        <f aca="false">H57/G57</f>
        <v>0.915712799167534</v>
      </c>
      <c r="M57" s="23" t="n">
        <f aca="false">1/COUTMAX*(E57/2-C57)*1000</f>
        <v>2.23113708993673</v>
      </c>
      <c r="N57" s="23" t="n">
        <f aca="false">I57*G57*(A57-B57)</f>
        <v>0.0575504723641709</v>
      </c>
      <c r="O57" s="23" t="n">
        <f aca="false">G57*(A57-B57)</f>
        <v>97.5373931623933</v>
      </c>
      <c r="P57" s="23" t="n">
        <f aca="false">(A57-B57)*(I_Cout_ss*$Q$2+C57)</f>
        <v>150.315170940171</v>
      </c>
      <c r="Q57" s="23" t="n">
        <f aca="false">(A57-B57)*(I_Cout_ss*$R$2+C57)</f>
        <v>69.1185897435899</v>
      </c>
    </row>
    <row r="58" customFormat="false" ht="12.75" hidden="false" customHeight="false" outlineLevel="0" collapsed="false">
      <c r="A58" s="23" t="n">
        <f aca="false">VINMAX</f>
        <v>50</v>
      </c>
      <c r="B58" s="246" t="n">
        <f aca="false">VINMAX*((ROW()-10)/104)</f>
        <v>23.0769230769231</v>
      </c>
      <c r="C58" s="247" t="n">
        <f aca="false">IF(B58&gt;=$H$2,IF($D$2="CC", $G$2, B58/$G$2), 0)</f>
        <v>0.3</v>
      </c>
      <c r="D58" s="248" t="n">
        <f aca="false">$B$2-B58*$J$2/($I$2*0.001)</f>
        <v>505.576208178439</v>
      </c>
      <c r="E58" s="248" t="n">
        <f aca="false">MIN(D58/(A58-B58),$C$2)</f>
        <v>18.7785448751992</v>
      </c>
      <c r="F58" s="247" t="n">
        <f aca="false">I_Cout_ss+C58</f>
        <v>3.55925925925926</v>
      </c>
      <c r="G58" s="248" t="n">
        <f aca="false">IF($F$2="YES", F58, E58)</f>
        <v>3.55925925925926</v>
      </c>
      <c r="H58" s="247" t="n">
        <f aca="false">G58-C58</f>
        <v>3.25925925925926</v>
      </c>
      <c r="I58" s="249" t="n">
        <f aca="false">(COUTMAX/1000000)*(B58-B57)/H58</f>
        <v>0.000590034965035051</v>
      </c>
      <c r="J58" s="250" t="n">
        <f aca="false">J57+I58</f>
        <v>0.0283216783216784</v>
      </c>
      <c r="K58" s="244" t="n">
        <f aca="false">J58*1000</f>
        <v>28.3216783216784</v>
      </c>
      <c r="L58" s="239" t="n">
        <f aca="false">H58/G58</f>
        <v>0.915712799167534</v>
      </c>
      <c r="M58" s="23" t="n">
        <f aca="false">1/COUTMAX*(E58/2-C58)*1000</f>
        <v>2.2723181093999</v>
      </c>
      <c r="N58" s="23" t="n">
        <f aca="false">I58*G58*(A58-B58)</f>
        <v>0.0565408149542847</v>
      </c>
      <c r="O58" s="23" t="n">
        <f aca="false">G58*(A58-B58)</f>
        <v>95.8262108262107</v>
      </c>
      <c r="P58" s="23" t="n">
        <f aca="false">(A58-B58)*(I_Cout_ss*$Q$2+C58)</f>
        <v>147.678062678062</v>
      </c>
      <c r="Q58" s="23" t="n">
        <f aca="false">(A58-B58)*(I_Cout_ss*$R$2+C58)</f>
        <v>67.9059829059829</v>
      </c>
    </row>
    <row r="59" customFormat="false" ht="12.75" hidden="false" customHeight="false" outlineLevel="0" collapsed="false">
      <c r="A59" s="23" t="n">
        <f aca="false">VINMAX</f>
        <v>50</v>
      </c>
      <c r="B59" s="246" t="n">
        <f aca="false">VINMAX*((ROW()-10)/104)</f>
        <v>23.5576923076923</v>
      </c>
      <c r="C59" s="247" t="n">
        <f aca="false">IF(B59&gt;=$H$2,IF($D$2="CC", $G$2, B59/$G$2), 0)</f>
        <v>0.3</v>
      </c>
      <c r="D59" s="248" t="n">
        <f aca="false">$B$2-B59*$J$2/($I$2*0.001)</f>
        <v>505.576208178439</v>
      </c>
      <c r="E59" s="248" t="n">
        <f aca="false">MIN(D59/(A59-B59),$C$2)</f>
        <v>19.1199729638391</v>
      </c>
      <c r="F59" s="247" t="n">
        <f aca="false">I_Cout_ss+C59</f>
        <v>3.55925925925926</v>
      </c>
      <c r="G59" s="248" t="n">
        <f aca="false">IF($F$2="YES", F59, E59)</f>
        <v>3.55925925925926</v>
      </c>
      <c r="H59" s="247" t="n">
        <f aca="false">G59-C59</f>
        <v>3.25925925925926</v>
      </c>
      <c r="I59" s="249" t="n">
        <f aca="false">(COUTMAX/1000000)*(B59-B58)/H59</f>
        <v>0.000590034965034925</v>
      </c>
      <c r="J59" s="250" t="n">
        <f aca="false">J58+I59</f>
        <v>0.0289117132867133</v>
      </c>
      <c r="K59" s="244" t="n">
        <f aca="false">J59*1000</f>
        <v>28.9117132867133</v>
      </c>
      <c r="L59" s="239" t="n">
        <f aca="false">H59/G59</f>
        <v>0.915712799167534</v>
      </c>
      <c r="M59" s="23" t="n">
        <f aca="false">1/COUTMAX*(E59/2-C59)*1000</f>
        <v>2.31499662047989</v>
      </c>
      <c r="N59" s="23" t="n">
        <f aca="false">I59*G59*(A59-B59)</f>
        <v>0.0555311575443749</v>
      </c>
      <c r="O59" s="23" t="n">
        <f aca="false">G59*(A59-B59)</f>
        <v>94.1150284900285</v>
      </c>
      <c r="P59" s="23" t="n">
        <f aca="false">(A59-B59)*(I_Cout_ss*$Q$2+C59)</f>
        <v>145.040954415954</v>
      </c>
      <c r="Q59" s="23" t="n">
        <f aca="false">(A59-B59)*(I_Cout_ss*$R$2+C59)</f>
        <v>66.6933760683761</v>
      </c>
    </row>
    <row r="60" customFormat="false" ht="12.75" hidden="false" customHeight="false" outlineLevel="0" collapsed="false">
      <c r="A60" s="23" t="n">
        <f aca="false">VINMAX</f>
        <v>50</v>
      </c>
      <c r="B60" s="246" t="n">
        <f aca="false">VINMAX*((ROW()-10)/104)</f>
        <v>24.0384615384615</v>
      </c>
      <c r="C60" s="247" t="n">
        <f aca="false">IF(B60&gt;=$H$2,IF($D$2="CC", $G$2, B60/$G$2), 0)</f>
        <v>0.3</v>
      </c>
      <c r="D60" s="248" t="n">
        <f aca="false">$B$2-B60*$J$2/($I$2*0.001)</f>
        <v>505.576208178439</v>
      </c>
      <c r="E60" s="248" t="n">
        <f aca="false">MIN(D60/(A60-B60),$C$2)</f>
        <v>19.4740465372435</v>
      </c>
      <c r="F60" s="247" t="n">
        <f aca="false">I_Cout_ss+C60</f>
        <v>3.55925925925926</v>
      </c>
      <c r="G60" s="248" t="n">
        <f aca="false">IF($F$2="YES", F60, E60)</f>
        <v>3.55925925925926</v>
      </c>
      <c r="H60" s="247" t="n">
        <f aca="false">G60-C60</f>
        <v>3.25925925925926</v>
      </c>
      <c r="I60" s="249" t="n">
        <f aca="false">(COUTMAX/1000000)*(B60-B59)/H60</f>
        <v>0.000590034965034929</v>
      </c>
      <c r="J60" s="250" t="n">
        <f aca="false">J59+I60</f>
        <v>0.0295017482517482</v>
      </c>
      <c r="K60" s="244" t="n">
        <f aca="false">J60*1000</f>
        <v>29.5017482517482</v>
      </c>
      <c r="L60" s="239" t="n">
        <f aca="false">H60/G60</f>
        <v>0.915712799167534</v>
      </c>
      <c r="M60" s="23" t="n">
        <f aca="false">1/COUTMAX*(E60/2-C60)*1000</f>
        <v>2.35925581715544</v>
      </c>
      <c r="N60" s="23" t="n">
        <f aca="false">I60*G60*(A60-B60)</f>
        <v>0.0545215001344777</v>
      </c>
      <c r="O60" s="23" t="n">
        <f aca="false">G60*(A60-B60)</f>
        <v>92.4038461538463</v>
      </c>
      <c r="P60" s="23" t="n">
        <f aca="false">(A60-B60)*(I_Cout_ss*$Q$2+C60)</f>
        <v>142.403846153846</v>
      </c>
      <c r="Q60" s="23" t="n">
        <f aca="false">(A60-B60)*(I_Cout_ss*$R$2+C60)</f>
        <v>65.4807692307693</v>
      </c>
    </row>
    <row r="61" customFormat="false" ht="12.75" hidden="false" customHeight="false" outlineLevel="0" collapsed="false">
      <c r="A61" s="23" t="n">
        <f aca="false">VINMAX</f>
        <v>50</v>
      </c>
      <c r="B61" s="246" t="n">
        <f aca="false">VINMAX*((ROW()-10)/104)</f>
        <v>24.5192307692308</v>
      </c>
      <c r="C61" s="247" t="n">
        <f aca="false">IF(B61&gt;=$H$2,IF($D$2="CC", $G$2, B61/$G$2), 0)</f>
        <v>0.3</v>
      </c>
      <c r="D61" s="248" t="n">
        <f aca="false">$B$2-B61*$J$2/($I$2*0.001)</f>
        <v>505.576208178439</v>
      </c>
      <c r="E61" s="248" t="n">
        <f aca="false">MIN(D61/(A61-B61),$C$2)</f>
        <v>19.8414813775689</v>
      </c>
      <c r="F61" s="247" t="n">
        <f aca="false">I_Cout_ss+C61</f>
        <v>3.55925925925926</v>
      </c>
      <c r="G61" s="248" t="n">
        <f aca="false">IF($F$2="YES", F61, E61)</f>
        <v>3.55925925925926</v>
      </c>
      <c r="H61" s="247" t="n">
        <f aca="false">G61-C61</f>
        <v>3.25925925925926</v>
      </c>
      <c r="I61" s="249" t="n">
        <f aca="false">(COUTMAX/1000000)*(B61-B60)/H61</f>
        <v>0.000590034965035047</v>
      </c>
      <c r="J61" s="250" t="n">
        <f aca="false">J60+I61</f>
        <v>0.0300917832167833</v>
      </c>
      <c r="K61" s="244" t="n">
        <f aca="false">J61*1000</f>
        <v>30.0917832167833</v>
      </c>
      <c r="L61" s="239" t="n">
        <f aca="false">H61/G61</f>
        <v>0.915712799167534</v>
      </c>
      <c r="M61" s="23" t="n">
        <f aca="false">1/COUTMAX*(E61/2-C61)*1000</f>
        <v>2.40518517219612</v>
      </c>
      <c r="N61" s="23" t="n">
        <f aca="false">I61*G61*(A61-B61)</f>
        <v>0.0535118427245905</v>
      </c>
      <c r="O61" s="23" t="n">
        <f aca="false">G61*(A61-B61)</f>
        <v>90.6926638176637</v>
      </c>
      <c r="P61" s="23" t="n">
        <f aca="false">(A61-B61)*(I_Cout_ss*$Q$2+C61)</f>
        <v>139.766737891738</v>
      </c>
      <c r="Q61" s="23" t="n">
        <f aca="false">(A61-B61)*(I_Cout_ss*$R$2+C61)</f>
        <v>64.2681623931623</v>
      </c>
    </row>
    <row r="62" customFormat="false" ht="12.75" hidden="false" customHeight="false" outlineLevel="0" collapsed="false">
      <c r="A62" s="23" t="n">
        <f aca="false">VINMAX</f>
        <v>50</v>
      </c>
      <c r="B62" s="246" t="n">
        <f aca="false">VINMAX*((ROW()-10)/104)</f>
        <v>25</v>
      </c>
      <c r="C62" s="247" t="n">
        <f aca="false">IF(B62&gt;=$H$2,IF($D$2="CC", $G$2, B62/$G$2), 0)</f>
        <v>0.3</v>
      </c>
      <c r="D62" s="248" t="n">
        <f aca="false">$B$2-B62*$J$2/($I$2*0.001)</f>
        <v>505.576208178439</v>
      </c>
      <c r="E62" s="248" t="n">
        <f aca="false">MIN(D62/(A62-B62),$C$2)</f>
        <v>20.2230483271375</v>
      </c>
      <c r="F62" s="247" t="n">
        <f aca="false">I_Cout_ss+C62</f>
        <v>3.55925925925926</v>
      </c>
      <c r="G62" s="248" t="n">
        <f aca="false">IF($F$2="YES", F62, E62)</f>
        <v>3.55925925925926</v>
      </c>
      <c r="H62" s="247" t="n">
        <f aca="false">G62-C62</f>
        <v>3.25925925925926</v>
      </c>
      <c r="I62" s="249" t="n">
        <f aca="false">(COUTMAX/1000000)*(B62-B61)/H62</f>
        <v>0.000590034965034929</v>
      </c>
      <c r="J62" s="250" t="n">
        <f aca="false">J61+I62</f>
        <v>0.0306818181818182</v>
      </c>
      <c r="K62" s="244" t="n">
        <f aca="false">J62*1000</f>
        <v>30.6818181818182</v>
      </c>
      <c r="L62" s="239" t="n">
        <f aca="false">H62/G62</f>
        <v>0.915712799167534</v>
      </c>
      <c r="M62" s="23" t="n">
        <f aca="false">1/COUTMAX*(E62/2-C62)*1000</f>
        <v>2.45288104089219</v>
      </c>
      <c r="N62" s="23" t="n">
        <f aca="false">I62*G62*(A62-B62)</f>
        <v>0.0525021853146821</v>
      </c>
      <c r="O62" s="23" t="n">
        <f aca="false">G62*(A62-B62)</f>
        <v>88.9814814814815</v>
      </c>
      <c r="P62" s="23" t="n">
        <f aca="false">(A62-B62)*(I_Cout_ss*$Q$2+C62)</f>
        <v>137.12962962963</v>
      </c>
      <c r="Q62" s="23" t="n">
        <f aca="false">(A62-B62)*(I_Cout_ss*$R$2+C62)</f>
        <v>63.0555555555556</v>
      </c>
    </row>
    <row r="63" customFormat="false" ht="12.75" hidden="false" customHeight="false" outlineLevel="0" collapsed="false">
      <c r="A63" s="23" t="n">
        <f aca="false">VINMAX</f>
        <v>50</v>
      </c>
      <c r="B63" s="246" t="n">
        <f aca="false">VINMAX*((ROW()-10)/104)</f>
        <v>25.4807692307692</v>
      </c>
      <c r="C63" s="247" t="n">
        <f aca="false">IF(B63&gt;=$H$2,IF($D$2="CC", $G$2, B63/$G$2), 0)</f>
        <v>0.3</v>
      </c>
      <c r="D63" s="248" t="n">
        <f aca="false">$B$2-B63*$J$2/($I$2*0.001)</f>
        <v>505.576208178439</v>
      </c>
      <c r="E63" s="248" t="n">
        <f aca="false">MIN(D63/(A63-B63),$C$2)</f>
        <v>20.6195786864932</v>
      </c>
      <c r="F63" s="247" t="n">
        <f aca="false">I_Cout_ss+C63</f>
        <v>3.55925925925926</v>
      </c>
      <c r="G63" s="248" t="n">
        <f aca="false">IF($F$2="YES", F63, E63)</f>
        <v>3.55925925925926</v>
      </c>
      <c r="H63" s="247" t="n">
        <f aca="false">G63-C63</f>
        <v>3.25925925925926</v>
      </c>
      <c r="I63" s="249" t="n">
        <f aca="false">(COUTMAX/1000000)*(B63-B62)/H63</f>
        <v>0.000590034965034929</v>
      </c>
      <c r="J63" s="250" t="n">
        <f aca="false">J62+I63</f>
        <v>0.0312718531468531</v>
      </c>
      <c r="K63" s="244" t="n">
        <f aca="false">J63*1000</f>
        <v>31.2718531468531</v>
      </c>
      <c r="L63" s="239" t="n">
        <f aca="false">H63/G63</f>
        <v>0.915712799167534</v>
      </c>
      <c r="M63" s="23" t="n">
        <f aca="false">1/COUTMAX*(E63/2-C63)*1000</f>
        <v>2.50244733581164</v>
      </c>
      <c r="N63" s="23" t="n">
        <f aca="false">I63*G63*(A63-B63)</f>
        <v>0.0514925279047844</v>
      </c>
      <c r="O63" s="23" t="n">
        <f aca="false">G63*(A63-B63)</f>
        <v>87.2702991452993</v>
      </c>
      <c r="P63" s="23" t="n">
        <f aca="false">(A63-B63)*(I_Cout_ss*$Q$2+C63)</f>
        <v>134.492521367521</v>
      </c>
      <c r="Q63" s="23" t="n">
        <f aca="false">(A63-B63)*(I_Cout_ss*$R$2+C63)</f>
        <v>61.8429487179488</v>
      </c>
    </row>
    <row r="64" customFormat="false" ht="12.75" hidden="false" customHeight="false" outlineLevel="0" collapsed="false">
      <c r="A64" s="23" t="n">
        <f aca="false">VINMAX</f>
        <v>50</v>
      </c>
      <c r="B64" s="246" t="n">
        <f aca="false">VINMAX*((ROW()-10)/104)</f>
        <v>25.9615384615385</v>
      </c>
      <c r="C64" s="247" t="n">
        <f aca="false">IF(B64&gt;=$H$2,IF($D$2="CC", $G$2, B64/$G$2), 0)</f>
        <v>0.3</v>
      </c>
      <c r="D64" s="248" t="n">
        <f aca="false">$B$2-B64*$J$2/($I$2*0.001)</f>
        <v>505.576208178439</v>
      </c>
      <c r="E64" s="248" t="n">
        <f aca="false">MIN(D64/(A64-B64),$C$2)</f>
        <v>21.0319702602231</v>
      </c>
      <c r="F64" s="247" t="n">
        <f aca="false">I_Cout_ss+C64</f>
        <v>3.55925925925926</v>
      </c>
      <c r="G64" s="248" t="n">
        <f aca="false">IF($F$2="YES", F64, E64)</f>
        <v>3.55925925925926</v>
      </c>
      <c r="H64" s="247" t="n">
        <f aca="false">G64-C64</f>
        <v>3.25925925925926</v>
      </c>
      <c r="I64" s="249" t="n">
        <f aca="false">(COUTMAX/1000000)*(B64-B63)/H64</f>
        <v>0.000590034965035047</v>
      </c>
      <c r="J64" s="250" t="n">
        <f aca="false">J63+I64</f>
        <v>0.0318618881118882</v>
      </c>
      <c r="K64" s="244" t="n">
        <f aca="false">J64*1000</f>
        <v>31.8618881118882</v>
      </c>
      <c r="L64" s="239" t="n">
        <f aca="false">H64/G64</f>
        <v>0.915712799167534</v>
      </c>
      <c r="M64" s="23" t="n">
        <f aca="false">1/COUTMAX*(E64/2-C64)*1000</f>
        <v>2.55399628252788</v>
      </c>
      <c r="N64" s="23" t="n">
        <f aca="false">I64*G64*(A64-B64)</f>
        <v>0.0504828704948967</v>
      </c>
      <c r="O64" s="23" t="n">
        <f aca="false">G64*(A64-B64)</f>
        <v>85.5591168091167</v>
      </c>
      <c r="P64" s="23" t="n">
        <f aca="false">(A64-B64)*(I_Cout_ss*$Q$2+C64)</f>
        <v>131.855413105413</v>
      </c>
      <c r="Q64" s="23" t="n">
        <f aca="false">(A64-B64)*(I_Cout_ss*$R$2+C64)</f>
        <v>60.6303418803418</v>
      </c>
    </row>
    <row r="65" customFormat="false" ht="12.75" hidden="false" customHeight="false" outlineLevel="0" collapsed="false">
      <c r="A65" s="23" t="n">
        <f aca="false">VINMAX</f>
        <v>50</v>
      </c>
      <c r="B65" s="246" t="n">
        <f aca="false">VINMAX*((ROW()-10)/104)</f>
        <v>26.4423076923077</v>
      </c>
      <c r="C65" s="247" t="n">
        <f aca="false">IF(B65&gt;=$H$2,IF($D$2="CC", $G$2, B65/$G$2), 0)</f>
        <v>0.3</v>
      </c>
      <c r="D65" s="248" t="n">
        <f aca="false">$B$2-B65*$J$2/($I$2*0.001)</f>
        <v>505.576208178439</v>
      </c>
      <c r="E65" s="248" t="n">
        <f aca="false">MIN(D65/(A65-B65),$C$2)</f>
        <v>21.4611941430847</v>
      </c>
      <c r="F65" s="247" t="n">
        <f aca="false">I_Cout_ss+C65</f>
        <v>3.55925925925926</v>
      </c>
      <c r="G65" s="248" t="n">
        <f aca="false">IF($F$2="YES", F65, E65)</f>
        <v>3.55925925925926</v>
      </c>
      <c r="H65" s="247" t="n">
        <f aca="false">G65-C65</f>
        <v>3.25925925925926</v>
      </c>
      <c r="I65" s="249" t="n">
        <f aca="false">(COUTMAX/1000000)*(B65-B64)/H65</f>
        <v>0.000590034965034929</v>
      </c>
      <c r="J65" s="250" t="n">
        <f aca="false">J64+I65</f>
        <v>0.0324519230769231</v>
      </c>
      <c r="K65" s="244" t="n">
        <f aca="false">J65*1000</f>
        <v>32.4519230769231</v>
      </c>
      <c r="L65" s="239" t="n">
        <f aca="false">H65/G65</f>
        <v>0.915712799167534</v>
      </c>
      <c r="M65" s="23" t="n">
        <f aca="false">1/COUTMAX*(E65/2-C65)*1000</f>
        <v>2.60764926788559</v>
      </c>
      <c r="N65" s="23" t="n">
        <f aca="false">I65*G65*(A65-B65)</f>
        <v>0.0494732130849889</v>
      </c>
      <c r="O65" s="23" t="n">
        <f aca="false">G65*(A65-B65)</f>
        <v>83.8479344729344</v>
      </c>
      <c r="P65" s="23" t="n">
        <f aca="false">(A65-B65)*(I_Cout_ss*$Q$2+C65)</f>
        <v>129.218304843305</v>
      </c>
      <c r="Q65" s="23" t="n">
        <f aca="false">(A65-B65)*(I_Cout_ss*$R$2+C65)</f>
        <v>59.417735042735</v>
      </c>
    </row>
    <row r="66" customFormat="false" ht="12.75" hidden="false" customHeight="false" outlineLevel="0" collapsed="false">
      <c r="A66" s="23" t="n">
        <f aca="false">VINMAX</f>
        <v>50</v>
      </c>
      <c r="B66" s="246" t="n">
        <f aca="false">VINMAX*((ROW()-10)/104)</f>
        <v>26.9230769230769</v>
      </c>
      <c r="C66" s="247" t="n">
        <f aca="false">IF(B66&gt;=$H$2,IF($D$2="CC", $G$2, B66/$G$2), 0)</f>
        <v>0.3</v>
      </c>
      <c r="D66" s="248" t="n">
        <f aca="false">$B$2-B66*$J$2/($I$2*0.001)</f>
        <v>505.576208178439</v>
      </c>
      <c r="E66" s="248" t="n">
        <f aca="false">MIN(D66/(A66-B66),$C$2)</f>
        <v>21.908302354399</v>
      </c>
      <c r="F66" s="247" t="n">
        <f aca="false">I_Cout_ss+C66</f>
        <v>3.55925925925926</v>
      </c>
      <c r="G66" s="248" t="n">
        <f aca="false">IF($F$2="YES", F66, E66)</f>
        <v>3.55925925925926</v>
      </c>
      <c r="H66" s="247" t="n">
        <f aca="false">G66-C66</f>
        <v>3.25925925925926</v>
      </c>
      <c r="I66" s="249" t="n">
        <f aca="false">(COUTMAX/1000000)*(B66-B65)/H66</f>
        <v>0.000590034965034925</v>
      </c>
      <c r="J66" s="250" t="n">
        <f aca="false">J65+I66</f>
        <v>0.033041958041958</v>
      </c>
      <c r="K66" s="244" t="n">
        <f aca="false">J66*1000</f>
        <v>33.041958041958</v>
      </c>
      <c r="L66" s="239" t="n">
        <f aca="false">H66/G66</f>
        <v>0.915712799167534</v>
      </c>
      <c r="M66" s="23" t="n">
        <f aca="false">1/COUTMAX*(E66/2-C66)*1000</f>
        <v>2.66353779429987</v>
      </c>
      <c r="N66" s="23" t="n">
        <f aca="false">I66*G66*(A66-B66)</f>
        <v>0.0484635556750909</v>
      </c>
      <c r="O66" s="23" t="n">
        <f aca="false">G66*(A66-B66)</f>
        <v>82.1367521367522</v>
      </c>
      <c r="P66" s="23" t="n">
        <f aca="false">(A66-B66)*(I_Cout_ss*$Q$2+C66)</f>
        <v>126.581196581197</v>
      </c>
      <c r="Q66" s="23" t="n">
        <f aca="false">(A66-B66)*(I_Cout_ss*$R$2+C66)</f>
        <v>58.2051282051283</v>
      </c>
    </row>
    <row r="67" customFormat="false" ht="12.75" hidden="false" customHeight="false" outlineLevel="0" collapsed="false">
      <c r="A67" s="23" t="n">
        <f aca="false">VINMAX</f>
        <v>50</v>
      </c>
      <c r="B67" s="246" t="n">
        <f aca="false">VINMAX*((ROW()-10)/104)</f>
        <v>27.4038461538462</v>
      </c>
      <c r="C67" s="247" t="n">
        <f aca="false">IF(B67&gt;=$H$2,IF($D$2="CC", $G$2, B67/$G$2), 0)</f>
        <v>0.3</v>
      </c>
      <c r="D67" s="248" t="n">
        <f aca="false">$B$2-B67*$J$2/($I$2*0.001)</f>
        <v>505.576208178439</v>
      </c>
      <c r="E67" s="248" t="n">
        <f aca="false">MIN(D67/(A67-B67),$C$2)</f>
        <v>22.3744364470458</v>
      </c>
      <c r="F67" s="247" t="n">
        <f aca="false">I_Cout_ss+C67</f>
        <v>3.55925925925926</v>
      </c>
      <c r="G67" s="248" t="n">
        <f aca="false">IF($F$2="YES", F67, E67)</f>
        <v>3.55925925925926</v>
      </c>
      <c r="H67" s="247" t="n">
        <f aca="false">G67-C67</f>
        <v>3.25925925925926</v>
      </c>
      <c r="I67" s="249" t="n">
        <f aca="false">(COUTMAX/1000000)*(B67-B66)/H67</f>
        <v>0.000590034965035051</v>
      </c>
      <c r="J67" s="250" t="n">
        <f aca="false">J66+I67</f>
        <v>0.0336319930069931</v>
      </c>
      <c r="K67" s="244" t="n">
        <f aca="false">J67*1000</f>
        <v>33.6319930069931</v>
      </c>
      <c r="L67" s="239" t="n">
        <f aca="false">H67/G67</f>
        <v>0.915712799167534</v>
      </c>
      <c r="M67" s="23" t="n">
        <f aca="false">1/COUTMAX*(E67/2-C67)*1000</f>
        <v>2.72180455588073</v>
      </c>
      <c r="N67" s="23" t="n">
        <f aca="false">I67*G67*(A67-B67)</f>
        <v>0.0474538982652032</v>
      </c>
      <c r="O67" s="23" t="n">
        <f aca="false">G67*(A67-B67)</f>
        <v>80.4255698005696</v>
      </c>
      <c r="P67" s="23" t="n">
        <f aca="false">(A67-B67)*(I_Cout_ss*$Q$2+C67)</f>
        <v>123.944088319088</v>
      </c>
      <c r="Q67" s="23" t="n">
        <f aca="false">(A67-B67)*(I_Cout_ss*$R$2+C67)</f>
        <v>56.9925213675213</v>
      </c>
    </row>
    <row r="68" customFormat="false" ht="12.75" hidden="false" customHeight="false" outlineLevel="0" collapsed="false">
      <c r="A68" s="23" t="n">
        <f aca="false">VINMAX</f>
        <v>50</v>
      </c>
      <c r="B68" s="246" t="n">
        <f aca="false">VINMAX*((ROW()-10)/104)</f>
        <v>27.8846153846154</v>
      </c>
      <c r="C68" s="247" t="n">
        <f aca="false">IF(B68&gt;=$H$2,IF($D$2="CC", $G$2, B68/$G$2), 0)</f>
        <v>0.3</v>
      </c>
      <c r="D68" s="248" t="n">
        <f aca="false">$B$2-B68*$J$2/($I$2*0.001)</f>
        <v>505.576208178439</v>
      </c>
      <c r="E68" s="248" t="n">
        <f aca="false">MIN(D68/(A68-B68),$C$2)</f>
        <v>22.8608372393729</v>
      </c>
      <c r="F68" s="247" t="n">
        <f aca="false">I_Cout_ss+C68</f>
        <v>3.55925925925926</v>
      </c>
      <c r="G68" s="248" t="n">
        <f aca="false">IF($F$2="YES", F68, E68)</f>
        <v>3.55925925925926</v>
      </c>
      <c r="H68" s="247" t="n">
        <f aca="false">G68-C68</f>
        <v>3.25925925925926</v>
      </c>
      <c r="I68" s="249" t="n">
        <f aca="false">(COUTMAX/1000000)*(B68-B67)/H68</f>
        <v>0.000590034965034929</v>
      </c>
      <c r="J68" s="250" t="n">
        <f aca="false">J67+I68</f>
        <v>0.034222027972028</v>
      </c>
      <c r="K68" s="244" t="n">
        <f aca="false">J68*1000</f>
        <v>34.222027972028</v>
      </c>
      <c r="L68" s="239" t="n">
        <f aca="false">H68/G68</f>
        <v>0.915712799167534</v>
      </c>
      <c r="M68" s="23" t="n">
        <f aca="false">1/COUTMAX*(E68/2-C68)*1000</f>
        <v>2.78260465492161</v>
      </c>
      <c r="N68" s="23" t="n">
        <f aca="false">I68*G68*(A68-B68)</f>
        <v>0.0464442408552957</v>
      </c>
      <c r="O68" s="23" t="n">
        <f aca="false">G68*(A68-B68)</f>
        <v>78.7143874643874</v>
      </c>
      <c r="P68" s="23" t="n">
        <f aca="false">(A68-B68)*(I_Cout_ss*$Q$2+C68)</f>
        <v>121.30698005698</v>
      </c>
      <c r="Q68" s="23" t="n">
        <f aca="false">(A68-B68)*(I_Cout_ss*$R$2+C68)</f>
        <v>55.7799145299145</v>
      </c>
    </row>
    <row r="69" customFormat="false" ht="12.75" hidden="false" customHeight="false" outlineLevel="0" collapsed="false">
      <c r="A69" s="23" t="n">
        <f aca="false">VINMAX</f>
        <v>50</v>
      </c>
      <c r="B69" s="246" t="n">
        <f aca="false">VINMAX*((ROW()-10)/104)</f>
        <v>28.3653846153846</v>
      </c>
      <c r="C69" s="247" t="n">
        <f aca="false">IF(B69&gt;=$H$2,IF($D$2="CC", $G$2, B69/$G$2), 0)</f>
        <v>0.3</v>
      </c>
      <c r="D69" s="248" t="n">
        <f aca="false">$B$2-B69*$J$2/($I$2*0.001)</f>
        <v>505.576208178439</v>
      </c>
      <c r="E69" s="248" t="n">
        <f aca="false">MIN(D69/(A69-B69),$C$2)</f>
        <v>23.3688558446923</v>
      </c>
      <c r="F69" s="247" t="n">
        <f aca="false">I_Cout_ss+C69</f>
        <v>3.55925925925926</v>
      </c>
      <c r="G69" s="248" t="n">
        <f aca="false">IF($F$2="YES", F69, E69)</f>
        <v>3.55925925925926</v>
      </c>
      <c r="H69" s="247" t="n">
        <f aca="false">G69-C69</f>
        <v>3.25925925925926</v>
      </c>
      <c r="I69" s="249" t="n">
        <f aca="false">(COUTMAX/1000000)*(B69-B68)/H69</f>
        <v>0.000590034965034925</v>
      </c>
      <c r="J69" s="250" t="n">
        <f aca="false">J68+I69</f>
        <v>0.0348120629370629</v>
      </c>
      <c r="K69" s="244" t="n">
        <f aca="false">J69*1000</f>
        <v>34.8120629370629</v>
      </c>
      <c r="L69" s="239" t="n">
        <f aca="false">H69/G69</f>
        <v>0.915712799167534</v>
      </c>
      <c r="M69" s="23" t="n">
        <f aca="false">1/COUTMAX*(E69/2-C69)*1000</f>
        <v>2.84610698058653</v>
      </c>
      <c r="N69" s="23" t="n">
        <f aca="false">I69*G69*(A69-B69)</f>
        <v>0.0454345834453977</v>
      </c>
      <c r="O69" s="23" t="n">
        <f aca="false">G69*(A69-B69)</f>
        <v>77.0032051282052</v>
      </c>
      <c r="P69" s="23" t="n">
        <f aca="false">(A69-B69)*(I_Cout_ss*$Q$2+C69)</f>
        <v>118.669871794872</v>
      </c>
      <c r="Q69" s="23" t="n">
        <f aca="false">(A69-B69)*(I_Cout_ss*$R$2+C69)</f>
        <v>54.5673076923078</v>
      </c>
    </row>
    <row r="70" customFormat="false" ht="12.75" hidden="false" customHeight="false" outlineLevel="0" collapsed="false">
      <c r="A70" s="23" t="n">
        <f aca="false">VINMAX</f>
        <v>50</v>
      </c>
      <c r="B70" s="246" t="n">
        <f aca="false">VINMAX*((ROW()-10)/104)</f>
        <v>28.8461538461538</v>
      </c>
      <c r="C70" s="247" t="n">
        <f aca="false">IF(B70&gt;=$H$2,IF($D$2="CC", $G$2, B70/$G$2), 0)</f>
        <v>0.3</v>
      </c>
      <c r="D70" s="248" t="n">
        <f aca="false">$B$2-B70*$J$2/($I$2*0.001)</f>
        <v>505.576208178439</v>
      </c>
      <c r="E70" s="248" t="n">
        <f aca="false">MIN(D70/(A70-B70),$C$2)</f>
        <v>23.8999662047989</v>
      </c>
      <c r="F70" s="247" t="n">
        <f aca="false">I_Cout_ss+C70</f>
        <v>3.55925925925926</v>
      </c>
      <c r="G70" s="248" t="n">
        <f aca="false">IF($F$2="YES", F70, E70)</f>
        <v>3.55925925925926</v>
      </c>
      <c r="H70" s="247" t="n">
        <f aca="false">G70-C70</f>
        <v>3.25925925925926</v>
      </c>
      <c r="I70" s="249" t="n">
        <f aca="false">(COUTMAX/1000000)*(B70-B69)/H70</f>
        <v>0.000590034965034929</v>
      </c>
      <c r="J70" s="250" t="n">
        <f aca="false">J69+I70</f>
        <v>0.0354020979020979</v>
      </c>
      <c r="K70" s="244" t="n">
        <f aca="false">J70*1000</f>
        <v>35.4020979020979</v>
      </c>
      <c r="L70" s="239" t="n">
        <f aca="false">H70/G70</f>
        <v>0.915712799167534</v>
      </c>
      <c r="M70" s="23" t="n">
        <f aca="false">1/COUTMAX*(E70/2-C70)*1000</f>
        <v>2.91249577559986</v>
      </c>
      <c r="N70" s="23" t="n">
        <f aca="false">I70*G70*(A70-B70)</f>
        <v>0.0444249260355003</v>
      </c>
      <c r="O70" s="23" t="n">
        <f aca="false">G70*(A70-B70)</f>
        <v>75.292022792023</v>
      </c>
      <c r="P70" s="23" t="n">
        <f aca="false">(A70-B70)*(I_Cout_ss*$Q$2+C70)</f>
        <v>116.032763532764</v>
      </c>
      <c r="Q70" s="23" t="n">
        <f aca="false">(A70-B70)*(I_Cout_ss*$R$2+C70)</f>
        <v>53.354700854701</v>
      </c>
    </row>
    <row r="71" customFormat="false" ht="12.75" hidden="false" customHeight="false" outlineLevel="0" collapsed="false">
      <c r="A71" s="23" t="n">
        <f aca="false">VINMAX</f>
        <v>50</v>
      </c>
      <c r="B71" s="246" t="n">
        <f aca="false">VINMAX*((ROW()-10)/104)</f>
        <v>29.3269230769231</v>
      </c>
      <c r="C71" s="247" t="n">
        <f aca="false">IF(B71&gt;=$H$2,IF($D$2="CC", $G$2, B71/$G$2), 0)</f>
        <v>0.3</v>
      </c>
      <c r="D71" s="248" t="n">
        <f aca="false">$B$2-B71*$J$2/($I$2*0.001)</f>
        <v>505.576208178439</v>
      </c>
      <c r="E71" s="248" t="n">
        <f aca="false">MIN(D71/(A71-B71),$C$2)</f>
        <v>24.4557793723524</v>
      </c>
      <c r="F71" s="247" t="n">
        <f aca="false">I_Cout_ss+C71</f>
        <v>3.55925925925926</v>
      </c>
      <c r="G71" s="248" t="n">
        <f aca="false">IF($F$2="YES", F71, E71)</f>
        <v>3.55925925925926</v>
      </c>
      <c r="H71" s="247" t="n">
        <f aca="false">G71-C71</f>
        <v>3.25925925925926</v>
      </c>
      <c r="I71" s="249" t="n">
        <f aca="false">(COUTMAX/1000000)*(B71-B70)/H71</f>
        <v>0.000590034965035051</v>
      </c>
      <c r="J71" s="250" t="n">
        <f aca="false">J70+I71</f>
        <v>0.0359921328671329</v>
      </c>
      <c r="K71" s="244" t="n">
        <f aca="false">J71*1000</f>
        <v>35.9921328671329</v>
      </c>
      <c r="L71" s="239" t="n">
        <f aca="false">H71/G71</f>
        <v>0.915712799167534</v>
      </c>
      <c r="M71" s="23" t="n">
        <f aca="false">1/COUTMAX*(E71/2-C71)*1000</f>
        <v>2.98197242154405</v>
      </c>
      <c r="N71" s="23" t="n">
        <f aca="false">I71*G71*(A71-B71)</f>
        <v>0.0434152686256115</v>
      </c>
      <c r="O71" s="23" t="n">
        <f aca="false">G71*(A71-B71)</f>
        <v>73.5808404558404</v>
      </c>
      <c r="P71" s="23" t="n">
        <f aca="false">(A71-B71)*(I_Cout_ss*$Q$2+C71)</f>
        <v>113.395655270655</v>
      </c>
      <c r="Q71" s="23" t="n">
        <f aca="false">(A71-B71)*(I_Cout_ss*$R$2+C71)</f>
        <v>52.142094017094</v>
      </c>
    </row>
    <row r="72" customFormat="false" ht="12.75" hidden="false" customHeight="false" outlineLevel="0" collapsed="false">
      <c r="A72" s="23" t="n">
        <f aca="false">VINMAX</f>
        <v>50</v>
      </c>
      <c r="B72" s="246" t="n">
        <f aca="false">VINMAX*((ROW()-10)/104)</f>
        <v>29.8076923076923</v>
      </c>
      <c r="C72" s="247" t="n">
        <f aca="false">IF(B72&gt;=$H$2,IF($D$2="CC", $G$2, B72/$G$2), 0)</f>
        <v>0.3</v>
      </c>
      <c r="D72" s="248" t="n">
        <f aca="false">$B$2-B72*$J$2/($I$2*0.001)</f>
        <v>505.576208178439</v>
      </c>
      <c r="E72" s="248" t="n">
        <f aca="false">MIN(D72/(A72-B72),$C$2)</f>
        <v>25.0380598335989</v>
      </c>
      <c r="F72" s="247" t="n">
        <f aca="false">I_Cout_ss+C72</f>
        <v>3.55925925925926</v>
      </c>
      <c r="G72" s="248" t="n">
        <f aca="false">IF($F$2="YES", F72, E72)</f>
        <v>3.55925925925926</v>
      </c>
      <c r="H72" s="247" t="n">
        <f aca="false">G72-C72</f>
        <v>3.25925925925926</v>
      </c>
      <c r="I72" s="249" t="n">
        <f aca="false">(COUTMAX/1000000)*(B72-B71)/H72</f>
        <v>0.000590034965034925</v>
      </c>
      <c r="J72" s="250" t="n">
        <f aca="false">J71+I72</f>
        <v>0.0365821678321678</v>
      </c>
      <c r="K72" s="244" t="n">
        <f aca="false">J72*1000</f>
        <v>36.5821678321678</v>
      </c>
      <c r="L72" s="239" t="n">
        <f aca="false">H72/G72</f>
        <v>0.915712799167534</v>
      </c>
      <c r="M72" s="23" t="n">
        <f aca="false">1/COUTMAX*(E72/2-C72)*1000</f>
        <v>3.05475747919986</v>
      </c>
      <c r="N72" s="23" t="n">
        <f aca="false">I72*G72*(A72-B72)</f>
        <v>0.0424056112157045</v>
      </c>
      <c r="O72" s="23" t="n">
        <f aca="false">G72*(A72-B72)</f>
        <v>71.8696581196582</v>
      </c>
      <c r="P72" s="23" t="n">
        <f aca="false">(A72-B72)*(I_Cout_ss*$Q$2+C72)</f>
        <v>110.758547008547</v>
      </c>
      <c r="Q72" s="23" t="n">
        <f aca="false">(A72-B72)*(I_Cout_ss*$R$2+C72)</f>
        <v>50.9294871794872</v>
      </c>
    </row>
    <row r="73" customFormat="false" ht="12.75" hidden="false" customHeight="false" outlineLevel="0" collapsed="false">
      <c r="A73" s="23" t="n">
        <f aca="false">VINMAX</f>
        <v>50</v>
      </c>
      <c r="B73" s="246" t="n">
        <f aca="false">VINMAX*((ROW()-10)/104)</f>
        <v>30.2884615384615</v>
      </c>
      <c r="C73" s="247" t="n">
        <f aca="false">IF(B73&gt;=$H$2,IF($D$2="CC", $G$2, B73/$G$2), 0)</f>
        <v>0.3</v>
      </c>
      <c r="D73" s="248" t="n">
        <f aca="false">$B$2-B73*$J$2/($I$2*0.001)</f>
        <v>505.576208178439</v>
      </c>
      <c r="E73" s="248" t="n">
        <f aca="false">MIN(D73/(A73-B73),$C$2)</f>
        <v>25.6487442197842</v>
      </c>
      <c r="F73" s="247" t="n">
        <f aca="false">I_Cout_ss+C73</f>
        <v>3.55925925925926</v>
      </c>
      <c r="G73" s="248" t="n">
        <f aca="false">IF($F$2="YES", F73, E73)</f>
        <v>3.55925925925926</v>
      </c>
      <c r="H73" s="247" t="n">
        <f aca="false">G73-C73</f>
        <v>3.25925925925926</v>
      </c>
      <c r="I73" s="249" t="n">
        <f aca="false">(COUTMAX/1000000)*(B73-B72)/H73</f>
        <v>0.000590034965034929</v>
      </c>
      <c r="J73" s="250" t="n">
        <f aca="false">J72+I73</f>
        <v>0.0371722027972028</v>
      </c>
      <c r="K73" s="244" t="n">
        <f aca="false">J73*1000</f>
        <v>37.1722027972028</v>
      </c>
      <c r="L73" s="239" t="n">
        <f aca="false">H73/G73</f>
        <v>0.915712799167534</v>
      </c>
      <c r="M73" s="23" t="n">
        <f aca="false">1/COUTMAX*(E73/2-C73)*1000</f>
        <v>3.13109302747302</v>
      </c>
      <c r="N73" s="23" t="n">
        <f aca="false">I73*G73*(A73-B73)</f>
        <v>0.0413959538058071</v>
      </c>
      <c r="O73" s="23" t="n">
        <f aca="false">G73*(A73-B73)</f>
        <v>70.1584757834759</v>
      </c>
      <c r="P73" s="23" t="n">
        <f aca="false">(A73-B73)*(I_Cout_ss*$Q$2+C73)</f>
        <v>108.121438746439</v>
      </c>
      <c r="Q73" s="23" t="n">
        <f aca="false">(A73-B73)*(I_Cout_ss*$R$2+C73)</f>
        <v>49.7168803418805</v>
      </c>
    </row>
    <row r="74" customFormat="false" ht="12.75" hidden="false" customHeight="false" outlineLevel="0" collapsed="false">
      <c r="A74" s="23" t="n">
        <f aca="false">VINMAX</f>
        <v>50</v>
      </c>
      <c r="B74" s="246" t="n">
        <f aca="false">VINMAX*((ROW()-10)/104)</f>
        <v>30.7692307692308</v>
      </c>
      <c r="C74" s="247" t="n">
        <f aca="false">IF(B74&gt;=$H$2,IF($D$2="CC", $G$2, B74/$G$2), 0)</f>
        <v>0.3</v>
      </c>
      <c r="D74" s="248" t="n">
        <f aca="false">$B$2-B74*$J$2/($I$2*0.001)</f>
        <v>505.576208178439</v>
      </c>
      <c r="E74" s="248" t="n">
        <f aca="false">MIN(D74/(A74-B74),$C$2)</f>
        <v>26.2899628252788</v>
      </c>
      <c r="F74" s="247" t="n">
        <f aca="false">I_Cout_ss+C74</f>
        <v>3.55925925925926</v>
      </c>
      <c r="G74" s="248" t="n">
        <f aca="false">IF($F$2="YES", F74, E74)</f>
        <v>3.55925925925926</v>
      </c>
      <c r="H74" s="247" t="n">
        <f aca="false">G74-C74</f>
        <v>3.25925925925926</v>
      </c>
      <c r="I74" s="249" t="n">
        <f aca="false">(COUTMAX/1000000)*(B74-B73)/H74</f>
        <v>0.000590034965035047</v>
      </c>
      <c r="J74" s="250" t="n">
        <f aca="false">J73+I74</f>
        <v>0.0377622377622378</v>
      </c>
      <c r="K74" s="244" t="n">
        <f aca="false">J74*1000</f>
        <v>37.7622377622378</v>
      </c>
      <c r="L74" s="239" t="n">
        <f aca="false">H74/G74</f>
        <v>0.915712799167534</v>
      </c>
      <c r="M74" s="23" t="n">
        <f aca="false">1/COUTMAX*(E74/2-C74)*1000</f>
        <v>3.21124535315986</v>
      </c>
      <c r="N74" s="23" t="n">
        <f aca="false">I74*G74*(A74-B74)</f>
        <v>0.0403862963959173</v>
      </c>
      <c r="O74" s="23" t="n">
        <f aca="false">G74*(A74-B74)</f>
        <v>68.4472934472934</v>
      </c>
      <c r="P74" s="23" t="n">
        <f aca="false">(A74-B74)*(I_Cout_ss*$Q$2+C74)</f>
        <v>105.48433048433</v>
      </c>
      <c r="Q74" s="23" t="n">
        <f aca="false">(A74-B74)*(I_Cout_ss*$R$2+C74)</f>
        <v>48.5042735042735</v>
      </c>
    </row>
    <row r="75" customFormat="false" ht="12.75" hidden="false" customHeight="false" outlineLevel="0" collapsed="false">
      <c r="A75" s="23" t="n">
        <f aca="false">VINMAX</f>
        <v>50</v>
      </c>
      <c r="B75" s="246" t="n">
        <f aca="false">VINMAX*((ROW()-10)/104)</f>
        <v>31.25</v>
      </c>
      <c r="C75" s="247" t="n">
        <f aca="false">IF(B75&gt;=$H$2,IF($D$2="CC", $G$2, B75/$G$2), 0)</f>
        <v>0.3</v>
      </c>
      <c r="D75" s="248" t="n">
        <f aca="false">$B$2-B75*$J$2/($I$2*0.001)</f>
        <v>505.576208178439</v>
      </c>
      <c r="E75" s="248" t="n">
        <f aca="false">MIN(D75/(A75-B75),$C$2)</f>
        <v>26.9640644361834</v>
      </c>
      <c r="F75" s="247" t="n">
        <f aca="false">I_Cout_ss+C75</f>
        <v>3.55925925925926</v>
      </c>
      <c r="G75" s="248" t="n">
        <f aca="false">IF($F$2="YES", F75, E75)</f>
        <v>3.55925925925926</v>
      </c>
      <c r="H75" s="247" t="n">
        <f aca="false">G75-C75</f>
        <v>3.25925925925926</v>
      </c>
      <c r="I75" s="249" t="n">
        <f aca="false">(COUTMAX/1000000)*(B75-B74)/H75</f>
        <v>0.000590034965034929</v>
      </c>
      <c r="J75" s="250" t="n">
        <f aca="false">J74+I75</f>
        <v>0.0383522727272727</v>
      </c>
      <c r="K75" s="244" t="n">
        <f aca="false">J75*1000</f>
        <v>38.3522727272727</v>
      </c>
      <c r="L75" s="239" t="n">
        <f aca="false">H75/G75</f>
        <v>0.915712799167534</v>
      </c>
      <c r="M75" s="23" t="n">
        <f aca="false">1/COUTMAX*(E75/2-C75)*1000</f>
        <v>3.29550805452292</v>
      </c>
      <c r="N75" s="23" t="n">
        <f aca="false">I75*G75*(A75-B75)</f>
        <v>0.0393766389860116</v>
      </c>
      <c r="O75" s="23" t="n">
        <f aca="false">G75*(A75-B75)</f>
        <v>66.7361111111111</v>
      </c>
      <c r="P75" s="23" t="n">
        <f aca="false">(A75-B75)*(I_Cout_ss*$Q$2+C75)</f>
        <v>102.847222222222</v>
      </c>
      <c r="Q75" s="23" t="n">
        <f aca="false">(A75-B75)*(I_Cout_ss*$R$2+C75)</f>
        <v>47.2916666666667</v>
      </c>
    </row>
    <row r="76" customFormat="false" ht="12.75" hidden="false" customHeight="false" outlineLevel="0" collapsed="false">
      <c r="A76" s="23" t="n">
        <f aca="false">VINMAX</f>
        <v>50</v>
      </c>
      <c r="B76" s="246" t="n">
        <f aca="false">VINMAX*((ROW()-10)/104)</f>
        <v>31.7307692307692</v>
      </c>
      <c r="C76" s="247" t="n">
        <f aca="false">IF(B76&gt;=$H$2,IF($D$2="CC", $G$2, B76/$G$2), 0)</f>
        <v>0.3</v>
      </c>
      <c r="D76" s="248" t="n">
        <f aca="false">$B$2-B76*$J$2/($I$2*0.001)</f>
        <v>505.576208178439</v>
      </c>
      <c r="E76" s="248" t="n">
        <f aca="false">MIN(D76/(A76-B76),$C$2)</f>
        <v>27.6736450792408</v>
      </c>
      <c r="F76" s="247" t="n">
        <f aca="false">I_Cout_ss+C76</f>
        <v>3.55925925925926</v>
      </c>
      <c r="G76" s="248" t="n">
        <f aca="false">IF($F$2="YES", F76, E76)</f>
        <v>3.55925925925926</v>
      </c>
      <c r="H76" s="247" t="n">
        <f aca="false">G76-C76</f>
        <v>3.25925925925926</v>
      </c>
      <c r="I76" s="249" t="n">
        <f aca="false">(COUTMAX/1000000)*(B76-B75)/H76</f>
        <v>0.000590034965034929</v>
      </c>
      <c r="J76" s="250" t="n">
        <f aca="false">J75+I76</f>
        <v>0.0389423076923077</v>
      </c>
      <c r="K76" s="244" t="n">
        <f aca="false">J76*1000</f>
        <v>38.9423076923077</v>
      </c>
      <c r="L76" s="239" t="n">
        <f aca="false">H76/G76</f>
        <v>0.915712799167534</v>
      </c>
      <c r="M76" s="23" t="n">
        <f aca="false">1/COUTMAX*(E76/2-C76)*1000</f>
        <v>3.3842056349051</v>
      </c>
      <c r="N76" s="23" t="n">
        <f aca="false">I76*G76*(A76-B76)</f>
        <v>0.0383669815761139</v>
      </c>
      <c r="O76" s="23" t="n">
        <f aca="false">G76*(A76-B76)</f>
        <v>65.0249287749289</v>
      </c>
      <c r="P76" s="23" t="n">
        <f aca="false">(A76-B76)*(I_Cout_ss*$Q$2+C76)</f>
        <v>100.210113960114</v>
      </c>
      <c r="Q76" s="23" t="n">
        <f aca="false">(A76-B76)*(I_Cout_ss*$R$2+C76)</f>
        <v>46.0790598290599</v>
      </c>
    </row>
    <row r="77" customFormat="false" ht="12.75" hidden="false" customHeight="false" outlineLevel="0" collapsed="false">
      <c r="A77" s="23" t="n">
        <f aca="false">VINMAX</f>
        <v>50</v>
      </c>
      <c r="B77" s="246" t="n">
        <f aca="false">VINMAX*((ROW()-10)/104)</f>
        <v>32.2115384615385</v>
      </c>
      <c r="C77" s="247" t="n">
        <f aca="false">IF(B77&gt;=$H$2,IF($D$2="CC", $G$2, B77/$G$2), 0)</f>
        <v>0.3</v>
      </c>
      <c r="D77" s="248" t="n">
        <f aca="false">$B$2-B77*$J$2/($I$2*0.001)</f>
        <v>505.576208178439</v>
      </c>
      <c r="E77" s="248" t="n">
        <f aca="false">MIN(D77/(A77-B77),$C$2)</f>
        <v>28.4215814327339</v>
      </c>
      <c r="F77" s="247" t="n">
        <f aca="false">I_Cout_ss+C77</f>
        <v>3.55925925925926</v>
      </c>
      <c r="G77" s="248" t="n">
        <f aca="false">IF($F$2="YES", F77, E77)</f>
        <v>3.55925925925926</v>
      </c>
      <c r="H77" s="247" t="n">
        <f aca="false">G77-C77</f>
        <v>3.25925925925926</v>
      </c>
      <c r="I77" s="249" t="n">
        <f aca="false">(COUTMAX/1000000)*(B77-B76)/H77</f>
        <v>0.000590034965035051</v>
      </c>
      <c r="J77" s="250" t="n">
        <f aca="false">J76+I77</f>
        <v>0.0395323426573427</v>
      </c>
      <c r="K77" s="244" t="n">
        <f aca="false">J77*1000</f>
        <v>39.5323426573427</v>
      </c>
      <c r="L77" s="239" t="n">
        <f aca="false">H77/G77</f>
        <v>0.915712799167534</v>
      </c>
      <c r="M77" s="23" t="n">
        <f aca="false">1/COUTMAX*(E77/2-C77)*1000</f>
        <v>3.47769767909174</v>
      </c>
      <c r="N77" s="23" t="n">
        <f aca="false">I77*G77*(A77-B77)</f>
        <v>0.0373573241662238</v>
      </c>
      <c r="O77" s="23" t="n">
        <f aca="false">G77*(A77-B77)</f>
        <v>63.3137464387463</v>
      </c>
      <c r="P77" s="23" t="n">
        <f aca="false">(A77-B77)*(I_Cout_ss*$Q$2+C77)</f>
        <v>97.5730056980054</v>
      </c>
      <c r="Q77" s="23" t="n">
        <f aca="false">(A77-B77)*(I_Cout_ss*$R$2+C77)</f>
        <v>44.8664529914529</v>
      </c>
    </row>
    <row r="78" customFormat="false" ht="12.75" hidden="false" customHeight="false" outlineLevel="0" collapsed="false">
      <c r="A78" s="23" t="n">
        <f aca="false">VINMAX</f>
        <v>50</v>
      </c>
      <c r="B78" s="246" t="n">
        <f aca="false">VINMAX*((ROW()-10)/104)</f>
        <v>32.6923076923077</v>
      </c>
      <c r="C78" s="247" t="n">
        <f aca="false">IF(B78&gt;=$H$2,IF($D$2="CC", $G$2, B78/$G$2), 0)</f>
        <v>0.3</v>
      </c>
      <c r="D78" s="248" t="n">
        <f aca="false">$B$2-B78*$J$2/($I$2*0.001)</f>
        <v>505.576208178439</v>
      </c>
      <c r="E78" s="248" t="n">
        <f aca="false">MIN(D78/(A78-B78),$C$2)</f>
        <v>29.2110698058654</v>
      </c>
      <c r="F78" s="247" t="n">
        <f aca="false">I_Cout_ss+C78</f>
        <v>3.55925925925926</v>
      </c>
      <c r="G78" s="248" t="n">
        <f aca="false">IF($F$2="YES", F78, E78)</f>
        <v>3.55925925925926</v>
      </c>
      <c r="H78" s="247" t="n">
        <f aca="false">G78-C78</f>
        <v>3.25925925925926</v>
      </c>
      <c r="I78" s="249" t="n">
        <f aca="false">(COUTMAX/1000000)*(B78-B77)/H78</f>
        <v>0.000590034965034925</v>
      </c>
      <c r="J78" s="250" t="n">
        <f aca="false">J77+I78</f>
        <v>0.0401223776223776</v>
      </c>
      <c r="K78" s="244" t="n">
        <f aca="false">J78*1000</f>
        <v>40.1223776223776</v>
      </c>
      <c r="L78" s="239" t="n">
        <f aca="false">H78/G78</f>
        <v>0.915712799167534</v>
      </c>
      <c r="M78" s="23" t="n">
        <f aca="false">1/COUTMAX*(E78/2-C78)*1000</f>
        <v>3.57638372573317</v>
      </c>
      <c r="N78" s="23" t="n">
        <f aca="false">I78*G78*(A78-B78)</f>
        <v>0.0363476667563181</v>
      </c>
      <c r="O78" s="23" t="n">
        <f aca="false">G78*(A78-B78)</f>
        <v>61.6025641025641</v>
      </c>
      <c r="P78" s="23" t="n">
        <f aca="false">(A78-B78)*(I_Cout_ss*$Q$2+C78)</f>
        <v>94.9358974358973</v>
      </c>
      <c r="Q78" s="23" t="n">
        <f aca="false">(A78-B78)*(I_Cout_ss*$R$2+C78)</f>
        <v>43.6538461538462</v>
      </c>
    </row>
    <row r="79" customFormat="false" ht="12.75" hidden="false" customHeight="false" outlineLevel="0" collapsed="false">
      <c r="A79" s="23" t="n">
        <f aca="false">VINMAX</f>
        <v>50</v>
      </c>
      <c r="B79" s="246" t="n">
        <f aca="false">VINMAX*((ROW()-10)/104)</f>
        <v>33.1730769230769</v>
      </c>
      <c r="C79" s="247" t="n">
        <f aca="false">IF(B79&gt;=$H$2,IF($D$2="CC", $G$2, B79/$G$2), 0)</f>
        <v>0.3</v>
      </c>
      <c r="D79" s="248" t="n">
        <f aca="false">$B$2-B79*$J$2/($I$2*0.001)</f>
        <v>505.576208178439</v>
      </c>
      <c r="E79" s="248" t="n">
        <f aca="false">MIN(D79/(A79-B79),$C$2)</f>
        <v>30.0456718003186</v>
      </c>
      <c r="F79" s="247" t="n">
        <f aca="false">I_Cout_ss+C79</f>
        <v>3.55925925925926</v>
      </c>
      <c r="G79" s="248" t="n">
        <f aca="false">IF($F$2="YES", F79, E79)</f>
        <v>3.55925925925926</v>
      </c>
      <c r="H79" s="247" t="n">
        <f aca="false">G79-C79</f>
        <v>3.25925925925926</v>
      </c>
      <c r="I79" s="249" t="n">
        <f aca="false">(COUTMAX/1000000)*(B79-B78)/H79</f>
        <v>0.000590034965034925</v>
      </c>
      <c r="J79" s="250" t="n">
        <f aca="false">J78+I79</f>
        <v>0.0407124125874126</v>
      </c>
      <c r="K79" s="244" t="n">
        <f aca="false">J79*1000</f>
        <v>40.7124125874126</v>
      </c>
      <c r="L79" s="239" t="n">
        <f aca="false">H79/G79</f>
        <v>0.915712799167534</v>
      </c>
      <c r="M79" s="23" t="n">
        <f aca="false">1/COUTMAX*(E79/2-C79)*1000</f>
        <v>3.68070897503982</v>
      </c>
      <c r="N79" s="23" t="n">
        <f aca="false">I79*G79*(A79-B79)</f>
        <v>0.0353380093464204</v>
      </c>
      <c r="O79" s="23" t="n">
        <f aca="false">G79*(A79-B79)</f>
        <v>59.8913817663819</v>
      </c>
      <c r="P79" s="23" t="n">
        <f aca="false">(A79-B79)*(I_Cout_ss*$Q$2+C79)</f>
        <v>92.2987891737892</v>
      </c>
      <c r="Q79" s="23" t="n">
        <f aca="false">(A79-B79)*(I_Cout_ss*$R$2+C79)</f>
        <v>42.4412393162394</v>
      </c>
    </row>
    <row r="80" customFormat="false" ht="12.75" hidden="false" customHeight="false" outlineLevel="0" collapsed="false">
      <c r="A80" s="23" t="n">
        <f aca="false">VINMAX</f>
        <v>50</v>
      </c>
      <c r="B80" s="246" t="n">
        <f aca="false">VINMAX*((ROW()-10)/104)</f>
        <v>33.6538461538462</v>
      </c>
      <c r="C80" s="247" t="n">
        <f aca="false">IF(B80&gt;=$H$2,IF($D$2="CC", $G$2, B80/$G$2), 0)</f>
        <v>0.3</v>
      </c>
      <c r="D80" s="248" t="n">
        <f aca="false">$B$2-B80*$J$2/($I$2*0.001)</f>
        <v>505.576208178439</v>
      </c>
      <c r="E80" s="248" t="n">
        <f aca="false">MIN(D80/(A80-B80),$C$2)</f>
        <v>30.9293680297399</v>
      </c>
      <c r="F80" s="247" t="n">
        <f aca="false">I_Cout_ss+C80</f>
        <v>3.55925925925926</v>
      </c>
      <c r="G80" s="248" t="n">
        <f aca="false">IF($F$2="YES", F80, E80)</f>
        <v>3.55925925925926</v>
      </c>
      <c r="H80" s="247" t="n">
        <f aca="false">G80-C80</f>
        <v>3.25925925925926</v>
      </c>
      <c r="I80" s="249" t="n">
        <f aca="false">(COUTMAX/1000000)*(B80-B79)/H80</f>
        <v>0.000590034965035056</v>
      </c>
      <c r="J80" s="250" t="n">
        <f aca="false">J79+I80</f>
        <v>0.0413024475524476</v>
      </c>
      <c r="K80" s="244" t="n">
        <f aca="false">J80*1000</f>
        <v>41.3024475524476</v>
      </c>
      <c r="L80" s="239" t="n">
        <f aca="false">H80/G80</f>
        <v>0.915712799167534</v>
      </c>
      <c r="M80" s="23" t="n">
        <f aca="false">1/COUTMAX*(E80/2-C80)*1000</f>
        <v>3.79117100371748</v>
      </c>
      <c r="N80" s="23" t="n">
        <f aca="false">I80*G80*(A80-B80)</f>
        <v>0.0343283519365302</v>
      </c>
      <c r="O80" s="23" t="n">
        <f aca="false">G80*(A80-B80)</f>
        <v>58.1801994301993</v>
      </c>
      <c r="P80" s="23" t="n">
        <f aca="false">(A80-B80)*(I_Cout_ss*$Q$2+C80)</f>
        <v>89.6616809116806</v>
      </c>
      <c r="Q80" s="23" t="n">
        <f aca="false">(A80-B80)*(I_Cout_ss*$R$2+C80)</f>
        <v>41.2286324786324</v>
      </c>
    </row>
    <row r="81" customFormat="false" ht="12.75" hidden="false" customHeight="false" outlineLevel="0" collapsed="false">
      <c r="A81" s="23" t="n">
        <f aca="false">VINMAX</f>
        <v>50</v>
      </c>
      <c r="B81" s="246" t="n">
        <f aca="false">VINMAX*((ROW()-10)/104)</f>
        <v>34.1346153846154</v>
      </c>
      <c r="C81" s="247" t="n">
        <f aca="false">IF(B81&gt;=$H$2,IF($D$2="CC", $G$2, B81/$G$2), 0)</f>
        <v>0.3</v>
      </c>
      <c r="D81" s="248" t="n">
        <f aca="false">$B$2-B81*$J$2/($I$2*0.001)</f>
        <v>505.576208178439</v>
      </c>
      <c r="E81" s="248" t="n">
        <f aca="false">MIN(D81/(A81-B81),$C$2)</f>
        <v>31.8666216063986</v>
      </c>
      <c r="F81" s="247" t="n">
        <f aca="false">I_Cout_ss+C81</f>
        <v>3.55925925925926</v>
      </c>
      <c r="G81" s="248" t="n">
        <f aca="false">IF($F$2="YES", F81, E81)</f>
        <v>3.55925925925926</v>
      </c>
      <c r="H81" s="247" t="n">
        <f aca="false">G81-C81</f>
        <v>3.25925925925926</v>
      </c>
      <c r="I81" s="249" t="n">
        <f aca="false">(COUTMAX/1000000)*(B81-B80)/H81</f>
        <v>0.000590034965034925</v>
      </c>
      <c r="J81" s="250" t="n">
        <f aca="false">J80+I81</f>
        <v>0.0418924825174825</v>
      </c>
      <c r="K81" s="244" t="n">
        <f aca="false">J81*1000</f>
        <v>41.8924825174825</v>
      </c>
      <c r="L81" s="239" t="n">
        <f aca="false">H81/G81</f>
        <v>0.915712799167534</v>
      </c>
      <c r="M81" s="23" t="n">
        <f aca="false">1/COUTMAX*(E81/2-C81)*1000</f>
        <v>3.90832770079982</v>
      </c>
      <c r="N81" s="23" t="n">
        <f aca="false">I81*G81*(A81-B81)</f>
        <v>0.0333186945266249</v>
      </c>
      <c r="O81" s="23" t="n">
        <f aca="false">G81*(A81-B81)</f>
        <v>56.469017094017</v>
      </c>
      <c r="P81" s="23" t="n">
        <f aca="false">(A81-B81)*(I_Cout_ss*$Q$2+C81)</f>
        <v>87.0245726495725</v>
      </c>
      <c r="Q81" s="23" t="n">
        <f aca="false">(A81-B81)*(I_Cout_ss*$R$2+C81)</f>
        <v>40.0160256410256</v>
      </c>
    </row>
    <row r="82" customFormat="false" ht="12.75" hidden="false" customHeight="false" outlineLevel="0" collapsed="false">
      <c r="A82" s="23" t="n">
        <f aca="false">VINMAX</f>
        <v>50</v>
      </c>
      <c r="B82" s="246" t="n">
        <f aca="false">VINMAX*((ROW()-10)/104)</f>
        <v>34.6153846153846</v>
      </c>
      <c r="C82" s="247" t="n">
        <f aca="false">IF(B82&gt;=$H$2,IF($D$2="CC", $G$2, B82/$G$2), 0)</f>
        <v>0.3</v>
      </c>
      <c r="D82" s="248" t="n">
        <f aca="false">$B$2-B82*$J$2/($I$2*0.001)</f>
        <v>505.576208178439</v>
      </c>
      <c r="E82" s="248" t="n">
        <f aca="false">MIN(D82/(A82-B82),$C$2)</f>
        <v>32.8624535315985</v>
      </c>
      <c r="F82" s="247" t="n">
        <f aca="false">I_Cout_ss+C82</f>
        <v>3.55925925925926</v>
      </c>
      <c r="G82" s="248" t="n">
        <f aca="false">IF($F$2="YES", F82, E82)</f>
        <v>3.55925925925926</v>
      </c>
      <c r="H82" s="247" t="n">
        <f aca="false">G82-C82</f>
        <v>3.25925925925926</v>
      </c>
      <c r="I82" s="249" t="n">
        <f aca="false">(COUTMAX/1000000)*(B82-B81)/H82</f>
        <v>0.000590034965034925</v>
      </c>
      <c r="J82" s="250" t="n">
        <f aca="false">J81+I82</f>
        <v>0.0424825174825175</v>
      </c>
      <c r="K82" s="244" t="n">
        <f aca="false">J82*1000</f>
        <v>42.4825174825175</v>
      </c>
      <c r="L82" s="239" t="n">
        <f aca="false">H82/G82</f>
        <v>0.915712799167534</v>
      </c>
      <c r="M82" s="23" t="n">
        <f aca="false">1/COUTMAX*(E82/2-C82)*1000</f>
        <v>4.03280669144981</v>
      </c>
      <c r="N82" s="23" t="n">
        <f aca="false">I82*G82*(A82-B82)</f>
        <v>0.0323090371167273</v>
      </c>
      <c r="O82" s="23" t="n">
        <f aca="false">G82*(A82-B82)</f>
        <v>54.7578347578348</v>
      </c>
      <c r="P82" s="23" t="n">
        <f aca="false">(A82-B82)*(I_Cout_ss*$Q$2+C82)</f>
        <v>84.3874643874644</v>
      </c>
      <c r="Q82" s="23" t="n">
        <f aca="false">(A82-B82)*(I_Cout_ss*$R$2+C82)</f>
        <v>38.8034188034189</v>
      </c>
    </row>
    <row r="83" customFormat="false" ht="12.75" hidden="false" customHeight="false" outlineLevel="0" collapsed="false">
      <c r="A83" s="23" t="n">
        <f aca="false">VINMAX</f>
        <v>50</v>
      </c>
      <c r="B83" s="246" t="n">
        <f aca="false">VINMAX*((ROW()-10)/104)</f>
        <v>35.0961538461538</v>
      </c>
      <c r="C83" s="247" t="n">
        <f aca="false">IF(B83&gt;=$H$2,IF($D$2="CC", $G$2, B83/$G$2), 0)</f>
        <v>0.3</v>
      </c>
      <c r="D83" s="248" t="n">
        <f aca="false">$B$2-B83*$J$2/($I$2*0.001)</f>
        <v>505.576208178439</v>
      </c>
      <c r="E83" s="248" t="n">
        <f aca="false">MIN(D83/(A83-B83),$C$2)</f>
        <v>33.922532677779</v>
      </c>
      <c r="F83" s="247" t="n">
        <f aca="false">I_Cout_ss+C83</f>
        <v>3.55925925925926</v>
      </c>
      <c r="G83" s="248" t="n">
        <f aca="false">IF($F$2="YES", F83, E83)</f>
        <v>3.55925925925926</v>
      </c>
      <c r="H83" s="247" t="n">
        <f aca="false">G83-C83</f>
        <v>3.25925925925926</v>
      </c>
      <c r="I83" s="249" t="n">
        <f aca="false">(COUTMAX/1000000)*(B83-B82)/H83</f>
        <v>0.000590034965034925</v>
      </c>
      <c r="J83" s="250" t="n">
        <f aca="false">J82+I83</f>
        <v>0.0430725524475524</v>
      </c>
      <c r="K83" s="244" t="n">
        <f aca="false">J83*1000</f>
        <v>43.0725524475524</v>
      </c>
      <c r="L83" s="239" t="n">
        <f aca="false">H83/G83</f>
        <v>0.915712799167534</v>
      </c>
      <c r="M83" s="23" t="n">
        <f aca="false">1/COUTMAX*(E83/2-C83)*1000</f>
        <v>4.16531658472237</v>
      </c>
      <c r="N83" s="23" t="n">
        <f aca="false">I83*G83*(A83-B83)</f>
        <v>0.0312993797068296</v>
      </c>
      <c r="O83" s="23" t="n">
        <f aca="false">G83*(A83-B83)</f>
        <v>53.0466524216526</v>
      </c>
      <c r="P83" s="23" t="n">
        <f aca="false">(A83-B83)*(I_Cout_ss*$Q$2+C83)</f>
        <v>81.7503561253563</v>
      </c>
      <c r="Q83" s="23" t="n">
        <f aca="false">(A83-B83)*(I_Cout_ss*$R$2+C83)</f>
        <v>37.5908119658121</v>
      </c>
    </row>
    <row r="84" customFormat="false" ht="12.75" hidden="false" customHeight="false" outlineLevel="0" collapsed="false">
      <c r="A84" s="23" t="n">
        <f aca="false">VINMAX</f>
        <v>50</v>
      </c>
      <c r="B84" s="246" t="n">
        <f aca="false">VINMAX*((ROW()-10)/104)</f>
        <v>35.5769230769231</v>
      </c>
      <c r="C84" s="247" t="n">
        <f aca="false">IF(B84&gt;=$H$2,IF($D$2="CC", $G$2, B84/$G$2), 0)</f>
        <v>0.3</v>
      </c>
      <c r="D84" s="248" t="n">
        <f aca="false">$B$2-B84*$J$2/($I$2*0.001)</f>
        <v>505.576208178439</v>
      </c>
      <c r="E84" s="248" t="n">
        <f aca="false">MIN(D84/(A84-B84),$C$2)</f>
        <v>35.0532837670385</v>
      </c>
      <c r="F84" s="247" t="n">
        <f aca="false">I_Cout_ss+C84</f>
        <v>3.55925925925926</v>
      </c>
      <c r="G84" s="248" t="n">
        <f aca="false">IF($F$2="YES", F84, E84)</f>
        <v>3.55925925925926</v>
      </c>
      <c r="H84" s="247" t="n">
        <f aca="false">G84-C84</f>
        <v>3.25925925925926</v>
      </c>
      <c r="I84" s="249" t="n">
        <f aca="false">(COUTMAX/1000000)*(B84-B83)/H84</f>
        <v>0.000590034965035056</v>
      </c>
      <c r="J84" s="250" t="n">
        <f aca="false">J83+I84</f>
        <v>0.0436625874125874</v>
      </c>
      <c r="K84" s="244" t="n">
        <f aca="false">J84*1000</f>
        <v>43.6625874125874</v>
      </c>
      <c r="L84" s="239" t="n">
        <f aca="false">H84/G84</f>
        <v>0.915712799167534</v>
      </c>
      <c r="M84" s="23" t="n">
        <f aca="false">1/COUTMAX*(E84/2-C84)*1000</f>
        <v>4.30666047087981</v>
      </c>
      <c r="N84" s="23" t="n">
        <f aca="false">I84*G84*(A84-B84)</f>
        <v>0.0302897222969384</v>
      </c>
      <c r="O84" s="23" t="n">
        <f aca="false">G84*(A84-B84)</f>
        <v>51.33547008547</v>
      </c>
      <c r="P84" s="23" t="n">
        <f aca="false">(A84-B84)*(I_Cout_ss*$Q$2+C84)</f>
        <v>79.1132478632477</v>
      </c>
      <c r="Q84" s="23" t="n">
        <f aca="false">(A84-B84)*(I_Cout_ss*$R$2+C84)</f>
        <v>36.3782051282051</v>
      </c>
    </row>
    <row r="85" customFormat="false" ht="12.75" hidden="false" customHeight="false" outlineLevel="0" collapsed="false">
      <c r="A85" s="23" t="n">
        <f aca="false">VINMAX</f>
        <v>50</v>
      </c>
      <c r="B85" s="246" t="n">
        <f aca="false">VINMAX*((ROW()-10)/104)</f>
        <v>36.0576923076923</v>
      </c>
      <c r="C85" s="247" t="n">
        <f aca="false">IF(B85&gt;=$H$2,IF($D$2="CC", $G$2, B85/$G$2), 0)</f>
        <v>0.3</v>
      </c>
      <c r="D85" s="248" t="n">
        <f aca="false">$B$2-B85*$J$2/($I$2*0.001)</f>
        <v>505.576208178439</v>
      </c>
      <c r="E85" s="248" t="n">
        <f aca="false">MIN(D85/(A85-B85),$C$2)</f>
        <v>36.2620176900397</v>
      </c>
      <c r="F85" s="247" t="n">
        <f aca="false">I_Cout_ss+C85</f>
        <v>3.55925925925926</v>
      </c>
      <c r="G85" s="248" t="n">
        <f aca="false">IF($F$2="YES", F85, E85)</f>
        <v>3.55925925925926</v>
      </c>
      <c r="H85" s="247" t="n">
        <f aca="false">G85-C85</f>
        <v>3.25925925925926</v>
      </c>
      <c r="I85" s="249" t="n">
        <f aca="false">(COUTMAX/1000000)*(B85-B84)/H85</f>
        <v>0.000590034965034925</v>
      </c>
      <c r="J85" s="250" t="n">
        <f aca="false">J84+I85</f>
        <v>0.0442526223776224</v>
      </c>
      <c r="K85" s="244" t="n">
        <f aca="false">J85*1000</f>
        <v>44.2526223776224</v>
      </c>
      <c r="L85" s="239" t="n">
        <f aca="false">H85/G85</f>
        <v>0.915712799167534</v>
      </c>
      <c r="M85" s="23" t="n">
        <f aca="false">1/COUTMAX*(E85/2-C85)*1000</f>
        <v>4.45775221125496</v>
      </c>
      <c r="N85" s="23" t="n">
        <f aca="false">I85*G85*(A85-B85)</f>
        <v>0.0292800648870341</v>
      </c>
      <c r="O85" s="23" t="n">
        <f aca="false">G85*(A85-B85)</f>
        <v>49.6242877492878</v>
      </c>
      <c r="P85" s="23" t="n">
        <f aca="false">(A85-B85)*(I_Cout_ss*$Q$2+C85)</f>
        <v>76.4761396011396</v>
      </c>
      <c r="Q85" s="23" t="n">
        <f aca="false">(A85-B85)*(I_Cout_ss*$R$2+C85)</f>
        <v>35.1655982905983</v>
      </c>
    </row>
    <row r="86" customFormat="false" ht="12.75" hidden="false" customHeight="false" outlineLevel="0" collapsed="false">
      <c r="A86" s="23" t="n">
        <f aca="false">VINMAX</f>
        <v>50</v>
      </c>
      <c r="B86" s="246" t="n">
        <f aca="false">VINMAX*((ROW()-10)/104)</f>
        <v>36.5384615384615</v>
      </c>
      <c r="C86" s="247" t="n">
        <f aca="false">IF(B86&gt;=$H$2,IF($D$2="CC", $G$2, B86/$G$2), 0)</f>
        <v>0.3</v>
      </c>
      <c r="D86" s="248" t="n">
        <f aca="false">$B$2-B86*$J$2/($I$2*0.001)</f>
        <v>505.576208178439</v>
      </c>
      <c r="E86" s="248" t="n">
        <f aca="false">MIN(D86/(A86-B86),$C$2)</f>
        <v>37.5570897503982</v>
      </c>
      <c r="F86" s="247" t="n">
        <f aca="false">I_Cout_ss+C86</f>
        <v>3.55925925925926</v>
      </c>
      <c r="G86" s="248" t="n">
        <f aca="false">IF($F$2="YES", F86, E86)</f>
        <v>3.55925925925926</v>
      </c>
      <c r="H86" s="247" t="n">
        <f aca="false">G86-C86</f>
        <v>3.25925925925926</v>
      </c>
      <c r="I86" s="249" t="n">
        <f aca="false">(COUTMAX/1000000)*(B86-B85)/H86</f>
        <v>0.000590034965034925</v>
      </c>
      <c r="J86" s="250" t="n">
        <f aca="false">J85+I86</f>
        <v>0.0448426573426573</v>
      </c>
      <c r="K86" s="244" t="n">
        <f aca="false">J86*1000</f>
        <v>44.8426573426573</v>
      </c>
      <c r="L86" s="239" t="n">
        <f aca="false">H86/G86</f>
        <v>0.915712799167534</v>
      </c>
      <c r="M86" s="23" t="n">
        <f aca="false">1/COUTMAX*(E86/2-C86)*1000</f>
        <v>4.61963621879977</v>
      </c>
      <c r="N86" s="23" t="n">
        <f aca="false">I86*G86*(A86-B86)</f>
        <v>0.0282704074771364</v>
      </c>
      <c r="O86" s="23" t="n">
        <f aca="false">G86*(A86-B86)</f>
        <v>47.9131054131056</v>
      </c>
      <c r="P86" s="23" t="n">
        <f aca="false">(A86-B86)*(I_Cout_ss*$Q$2+C86)</f>
        <v>73.8390313390315</v>
      </c>
      <c r="Q86" s="23" t="n">
        <f aca="false">(A86-B86)*(I_Cout_ss*$R$2+C86)</f>
        <v>33.9529914529916</v>
      </c>
    </row>
    <row r="87" customFormat="false" ht="12.75" hidden="false" customHeight="false" outlineLevel="0" collapsed="false">
      <c r="A87" s="23" t="n">
        <f aca="false">VINMAX</f>
        <v>50</v>
      </c>
      <c r="B87" s="246" t="n">
        <f aca="false">VINMAX*((ROW()-10)/104)</f>
        <v>37.0192307692308</v>
      </c>
      <c r="C87" s="247" t="n">
        <f aca="false">IF(B87&gt;=$H$2,IF($D$2="CC", $G$2, B87/$G$2), 0)</f>
        <v>0.3</v>
      </c>
      <c r="D87" s="248" t="n">
        <f aca="false">$B$2-B87*$J$2/($I$2*0.001)</f>
        <v>505.576208178439</v>
      </c>
      <c r="E87" s="248" t="n">
        <f aca="false">MIN(D87/(A87-B87),$C$2)</f>
        <v>38.9480930744872</v>
      </c>
      <c r="F87" s="247" t="n">
        <f aca="false">I_Cout_ss+C87</f>
        <v>3.55925925925926</v>
      </c>
      <c r="G87" s="248" t="n">
        <f aca="false">IF($F$2="YES", F87, E87)</f>
        <v>3.55925925925926</v>
      </c>
      <c r="H87" s="247" t="n">
        <f aca="false">G87-C87</f>
        <v>3.25925925925926</v>
      </c>
      <c r="I87" s="249" t="n">
        <f aca="false">(COUTMAX/1000000)*(B87-B86)/H87</f>
        <v>0.000590034965035056</v>
      </c>
      <c r="J87" s="250" t="n">
        <f aca="false">J86+I87</f>
        <v>0.0454326923076923</v>
      </c>
      <c r="K87" s="244" t="n">
        <f aca="false">J87*1000</f>
        <v>45.4326923076923</v>
      </c>
      <c r="L87" s="239" t="n">
        <f aca="false">H87/G87</f>
        <v>0.915712799167534</v>
      </c>
      <c r="M87" s="23" t="n">
        <f aca="false">1/COUTMAX*(E87/2-C87)*1000</f>
        <v>4.7935116343109</v>
      </c>
      <c r="N87" s="23" t="n">
        <f aca="false">I87*G87*(A87-B87)</f>
        <v>0.0272607500672446</v>
      </c>
      <c r="O87" s="23" t="n">
        <f aca="false">G87*(A87-B87)</f>
        <v>46.201923076923</v>
      </c>
      <c r="P87" s="23" t="n">
        <f aca="false">(A87-B87)*(I_Cout_ss*$Q$2+C87)</f>
        <v>71.2019230769229</v>
      </c>
      <c r="Q87" s="23" t="n">
        <f aca="false">(A87-B87)*(I_Cout_ss*$R$2+C87)</f>
        <v>32.7403846153845</v>
      </c>
    </row>
    <row r="88" customFormat="false" ht="12.75" hidden="false" customHeight="false" outlineLevel="0" collapsed="false">
      <c r="A88" s="23" t="n">
        <f aca="false">VINMAX</f>
        <v>50</v>
      </c>
      <c r="B88" s="246" t="n">
        <f aca="false">VINMAX*((ROW()-10)/104)</f>
        <v>37.5</v>
      </c>
      <c r="C88" s="247" t="n">
        <f aca="false">IF(B88&gt;=$H$2,IF($D$2="CC", $G$2, B88/$G$2), 0)</f>
        <v>0.3</v>
      </c>
      <c r="D88" s="248" t="n">
        <f aca="false">$B$2-B88*$J$2/($I$2*0.001)</f>
        <v>505.576208178439</v>
      </c>
      <c r="E88" s="248" t="n">
        <f aca="false">MIN(D88/(A88-B88),$C$2)</f>
        <v>40.4460966542751</v>
      </c>
      <c r="F88" s="247" t="n">
        <f aca="false">I_Cout_ss+C88</f>
        <v>3.55925925925926</v>
      </c>
      <c r="G88" s="248" t="n">
        <f aca="false">IF($F$2="YES", F88, E88)</f>
        <v>3.55925925925926</v>
      </c>
      <c r="H88" s="247" t="n">
        <f aca="false">G88-C88</f>
        <v>3.25925925925926</v>
      </c>
      <c r="I88" s="249" t="n">
        <f aca="false">(COUTMAX/1000000)*(B88-B87)/H88</f>
        <v>0.000590034965034925</v>
      </c>
      <c r="J88" s="250" t="n">
        <f aca="false">J87+I88</f>
        <v>0.0460227272727273</v>
      </c>
      <c r="K88" s="244" t="n">
        <f aca="false">J88*1000</f>
        <v>46.0227272727273</v>
      </c>
      <c r="L88" s="239" t="n">
        <f aca="false">H88/G88</f>
        <v>0.915712799167534</v>
      </c>
      <c r="M88" s="23" t="n">
        <f aca="false">1/COUTMAX*(E88/2-C88)*1000</f>
        <v>4.98076208178439</v>
      </c>
      <c r="N88" s="23" t="n">
        <f aca="false">I88*G88*(A88-B88)</f>
        <v>0.0262510926573409</v>
      </c>
      <c r="O88" s="23" t="n">
        <f aca="false">G88*(A88-B88)</f>
        <v>44.4907407407407</v>
      </c>
      <c r="P88" s="23" t="n">
        <f aca="false">(A88-B88)*(I_Cout_ss*$Q$2+C88)</f>
        <v>68.5648148148148</v>
      </c>
      <c r="Q88" s="23" t="n">
        <f aca="false">(A88-B88)*(I_Cout_ss*$R$2+C88)</f>
        <v>31.5277777777778</v>
      </c>
    </row>
    <row r="89" customFormat="false" ht="12.75" hidden="false" customHeight="false" outlineLevel="0" collapsed="false">
      <c r="A89" s="23" t="n">
        <f aca="false">VINMAX</f>
        <v>50</v>
      </c>
      <c r="B89" s="246" t="n">
        <f aca="false">VINMAX*((ROW()-10)/104)</f>
        <v>37.9807692307692</v>
      </c>
      <c r="C89" s="247" t="n">
        <f aca="false">IF(B89&gt;=$H$2,IF($D$2="CC", $G$2, B89/$G$2), 0)</f>
        <v>0.3</v>
      </c>
      <c r="D89" s="248" t="n">
        <f aca="false">$B$2-B89*$J$2/($I$2*0.001)</f>
        <v>505.576208178439</v>
      </c>
      <c r="E89" s="248" t="n">
        <f aca="false">MIN(D89/(A89-B89),$C$2)</f>
        <v>42.063940520446</v>
      </c>
      <c r="F89" s="247" t="n">
        <f aca="false">I_Cout_ss+C89</f>
        <v>3.55925925925926</v>
      </c>
      <c r="G89" s="248" t="n">
        <f aca="false">IF($F$2="YES", F89, E89)</f>
        <v>3.55925925925926</v>
      </c>
      <c r="H89" s="247" t="n">
        <f aca="false">G89-C89</f>
        <v>3.25925925925926</v>
      </c>
      <c r="I89" s="249" t="n">
        <f aca="false">(COUTMAX/1000000)*(B89-B88)/H89</f>
        <v>0.000590034965034925</v>
      </c>
      <c r="J89" s="250" t="n">
        <f aca="false">J88+I89</f>
        <v>0.0466127622377622</v>
      </c>
      <c r="K89" s="244" t="n">
        <f aca="false">J89*1000</f>
        <v>46.6127622377622</v>
      </c>
      <c r="L89" s="239" t="n">
        <f aca="false">H89/G89</f>
        <v>0.915712799167534</v>
      </c>
      <c r="M89" s="23" t="n">
        <f aca="false">1/COUTMAX*(E89/2-C89)*1000</f>
        <v>5.18299256505575</v>
      </c>
      <c r="N89" s="23" t="n">
        <f aca="false">I89*G89*(A89-B89)</f>
        <v>0.0252414352474432</v>
      </c>
      <c r="O89" s="23" t="n">
        <f aca="false">G89*(A89-B89)</f>
        <v>42.7795584045585</v>
      </c>
      <c r="P89" s="23" t="n">
        <f aca="false">(A89-B89)*(I_Cout_ss*$Q$2+C89)</f>
        <v>65.9277065527067</v>
      </c>
      <c r="Q89" s="23" t="n">
        <f aca="false">(A89-B89)*(I_Cout_ss*$R$2+C89)</f>
        <v>30.315170940171</v>
      </c>
    </row>
    <row r="90" customFormat="false" ht="12.75" hidden="false" customHeight="false" outlineLevel="0" collapsed="false">
      <c r="A90" s="23" t="n">
        <f aca="false">VINMAX</f>
        <v>50</v>
      </c>
      <c r="B90" s="246" t="n">
        <f aca="false">VINMAX*((ROW()-10)/104)</f>
        <v>38.4615384615385</v>
      </c>
      <c r="C90" s="247" t="n">
        <f aca="false">IF(B90&gt;=$H$2,IF($D$2="CC", $G$2, B90/$G$2), 0)</f>
        <v>0.3</v>
      </c>
      <c r="D90" s="248" t="n">
        <f aca="false">$B$2-B90*$J$2/($I$2*0.001)</f>
        <v>505.576208178439</v>
      </c>
      <c r="E90" s="248" t="n">
        <f aca="false">MIN(D90/(A90-B90),$C$2)</f>
        <v>43.8166047087982</v>
      </c>
      <c r="F90" s="247" t="n">
        <f aca="false">I_Cout_ss+C90</f>
        <v>3.55925925925926</v>
      </c>
      <c r="G90" s="248" t="n">
        <f aca="false">IF($F$2="YES", F90, E90)</f>
        <v>3.55925925925926</v>
      </c>
      <c r="H90" s="247" t="n">
        <f aca="false">G90-C90</f>
        <v>3.25925925925926</v>
      </c>
      <c r="I90" s="249" t="n">
        <f aca="false">(COUTMAX/1000000)*(B90-B89)/H90</f>
        <v>0.000590034965035056</v>
      </c>
      <c r="J90" s="250" t="n">
        <f aca="false">J89+I90</f>
        <v>0.0472027972027972</v>
      </c>
      <c r="K90" s="244" t="n">
        <f aca="false">J90*1000</f>
        <v>47.2027972027972</v>
      </c>
      <c r="L90" s="239" t="n">
        <f aca="false">H90/G90</f>
        <v>0.915712799167534</v>
      </c>
      <c r="M90" s="23" t="n">
        <f aca="false">1/COUTMAX*(E90/2-C90)*1000</f>
        <v>5.40207558859977</v>
      </c>
      <c r="N90" s="23" t="n">
        <f aca="false">I90*G90*(A90-B90)</f>
        <v>0.0242317778375507</v>
      </c>
      <c r="O90" s="23" t="n">
        <f aca="false">G90*(A90-B90)</f>
        <v>41.0683760683759</v>
      </c>
      <c r="P90" s="23" t="n">
        <f aca="false">(A90-B90)*(I_Cout_ss*$Q$2+C90)</f>
        <v>63.290598290598</v>
      </c>
      <c r="Q90" s="23" t="n">
        <f aca="false">(A90-B90)*(I_Cout_ss*$R$2+C90)</f>
        <v>29.102564102564</v>
      </c>
    </row>
    <row r="91" customFormat="false" ht="12.75" hidden="false" customHeight="false" outlineLevel="0" collapsed="false">
      <c r="A91" s="23" t="n">
        <f aca="false">VINMAX</f>
        <v>50</v>
      </c>
      <c r="B91" s="246" t="n">
        <f aca="false">VINMAX*((ROW()-10)/104)</f>
        <v>38.9423076923077</v>
      </c>
      <c r="C91" s="247" t="n">
        <f aca="false">IF(B91&gt;=$H$2,IF($D$2="CC", $G$2, B91/$G$2), 0)</f>
        <v>0.3</v>
      </c>
      <c r="D91" s="248" t="n">
        <f aca="false">$B$2-B91*$J$2/($I$2*0.001)</f>
        <v>505.576208178439</v>
      </c>
      <c r="E91" s="248" t="n">
        <f aca="false">MIN(D91/(A91-B91),$C$2)</f>
        <v>45.7216744787458</v>
      </c>
      <c r="F91" s="247" t="n">
        <f aca="false">I_Cout_ss+C91</f>
        <v>3.55925925925926</v>
      </c>
      <c r="G91" s="248" t="n">
        <f aca="false">IF($F$2="YES", F91, E91)</f>
        <v>3.55925925925926</v>
      </c>
      <c r="H91" s="247" t="n">
        <f aca="false">G91-C91</f>
        <v>3.25925925925926</v>
      </c>
      <c r="I91" s="249" t="n">
        <f aca="false">(COUTMAX/1000000)*(B91-B90)/H91</f>
        <v>0.000590034965034925</v>
      </c>
      <c r="J91" s="250" t="n">
        <f aca="false">J90+I91</f>
        <v>0.0477928321678322</v>
      </c>
      <c r="K91" s="244" t="n">
        <f aca="false">J91*1000</f>
        <v>47.7928321678322</v>
      </c>
      <c r="L91" s="239" t="n">
        <f aca="false">H91/G91</f>
        <v>0.915712799167534</v>
      </c>
      <c r="M91" s="23" t="n">
        <f aca="false">1/COUTMAX*(E91/2-C91)*1000</f>
        <v>5.64020930984322</v>
      </c>
      <c r="N91" s="23" t="n">
        <f aca="false">I91*G91*(A91-B91)</f>
        <v>0.0232221204276477</v>
      </c>
      <c r="O91" s="23" t="n">
        <f aca="false">G91*(A91-B91)</f>
        <v>39.3571937321937</v>
      </c>
      <c r="P91" s="23" t="n">
        <f aca="false">(A91-B91)*(I_Cout_ss*$Q$2+C91)</f>
        <v>60.6534900284899</v>
      </c>
      <c r="Q91" s="23" t="n">
        <f aca="false">(A91-B91)*(I_Cout_ss*$R$2+C91)</f>
        <v>27.8899572649573</v>
      </c>
    </row>
    <row r="92" customFormat="false" ht="12.75" hidden="false" customHeight="false" outlineLevel="0" collapsed="false">
      <c r="A92" s="23" t="n">
        <f aca="false">VINMAX</f>
        <v>50</v>
      </c>
      <c r="B92" s="246" t="n">
        <f aca="false">VINMAX*((ROW()-10)/104)</f>
        <v>39.4230769230769</v>
      </c>
      <c r="C92" s="247" t="n">
        <f aca="false">IF(B92&gt;=$H$2,IF($D$2="CC", $G$2, B92/$G$2), 0)</f>
        <v>0.3</v>
      </c>
      <c r="D92" s="248" t="n">
        <f aca="false">$B$2-B92*$J$2/($I$2*0.001)</f>
        <v>505.576208178439</v>
      </c>
      <c r="E92" s="248" t="n">
        <f aca="false">MIN(D92/(A92-B92),$C$2)</f>
        <v>47.7999324095977</v>
      </c>
      <c r="F92" s="247" t="n">
        <f aca="false">I_Cout_ss+C92</f>
        <v>3.55925925925926</v>
      </c>
      <c r="G92" s="248" t="n">
        <f aca="false">IF($F$2="YES", F92, E92)</f>
        <v>3.55925925925926</v>
      </c>
      <c r="H92" s="247" t="n">
        <f aca="false">G92-C92</f>
        <v>3.25925925925926</v>
      </c>
      <c r="I92" s="249" t="n">
        <f aca="false">(COUTMAX/1000000)*(B92-B91)/H92</f>
        <v>0.000590034965034925</v>
      </c>
      <c r="J92" s="250" t="n">
        <f aca="false">J91+I92</f>
        <v>0.0483828671328671</v>
      </c>
      <c r="K92" s="244" t="n">
        <f aca="false">J92*1000</f>
        <v>48.3828671328671</v>
      </c>
      <c r="L92" s="239" t="n">
        <f aca="false">H92/G92</f>
        <v>0.915712799167534</v>
      </c>
      <c r="M92" s="23" t="n">
        <f aca="false">1/COUTMAX*(E92/2-C92)*1000</f>
        <v>5.89999155119972</v>
      </c>
      <c r="N92" s="23" t="n">
        <f aca="false">I92*G92*(A92-B92)</f>
        <v>0.02221246301775</v>
      </c>
      <c r="O92" s="23" t="n">
        <f aca="false">G92*(A92-B92)</f>
        <v>37.6460113960115</v>
      </c>
      <c r="P92" s="23" t="n">
        <f aca="false">(A92-B92)*(I_Cout_ss*$Q$2+C92)</f>
        <v>58.0163817663819</v>
      </c>
      <c r="Q92" s="23" t="n">
        <f aca="false">(A92-B92)*(I_Cout_ss*$R$2+C92)</f>
        <v>26.6773504273505</v>
      </c>
    </row>
    <row r="93" customFormat="false" ht="12.75" hidden="false" customHeight="false" outlineLevel="0" collapsed="false">
      <c r="A93" s="23" t="n">
        <f aca="false">VINMAX</f>
        <v>50</v>
      </c>
      <c r="B93" s="246" t="n">
        <f aca="false">VINMAX*((ROW()-10)/104)</f>
        <v>39.9038461538462</v>
      </c>
      <c r="C93" s="247" t="n">
        <f aca="false">IF(B93&gt;=$H$2,IF($D$2="CC", $G$2, B93/$G$2), 0)</f>
        <v>0.3</v>
      </c>
      <c r="D93" s="248" t="n">
        <f aca="false">$B$2-B93*$J$2/($I$2*0.001)</f>
        <v>505.576208178439</v>
      </c>
      <c r="E93" s="248" t="n">
        <f aca="false">MIN(D93/(A93-B93),$C$2)</f>
        <v>50.076119667198</v>
      </c>
      <c r="F93" s="247" t="n">
        <f aca="false">I_Cout_ss+C93</f>
        <v>3.55925925925926</v>
      </c>
      <c r="G93" s="248" t="n">
        <f aca="false">IF($F$2="YES", F93, E93)</f>
        <v>3.55925925925926</v>
      </c>
      <c r="H93" s="247" t="n">
        <f aca="false">G93-C93</f>
        <v>3.25925925925926</v>
      </c>
      <c r="I93" s="249" t="n">
        <f aca="false">(COUTMAX/1000000)*(B93-B92)/H93</f>
        <v>0.000590034965035056</v>
      </c>
      <c r="J93" s="250" t="n">
        <f aca="false">J92+I93</f>
        <v>0.0489729020979021</v>
      </c>
      <c r="K93" s="244" t="n">
        <f aca="false">J93*1000</f>
        <v>48.9729020979021</v>
      </c>
      <c r="L93" s="239" t="n">
        <f aca="false">H93/G93</f>
        <v>0.915712799167534</v>
      </c>
      <c r="M93" s="23" t="n">
        <f aca="false">1/COUTMAX*(E93/2-C93)*1000</f>
        <v>6.18451495839975</v>
      </c>
      <c r="N93" s="23" t="n">
        <f aca="false">I93*G93*(A93-B93)</f>
        <v>0.0212028056078568</v>
      </c>
      <c r="O93" s="23" t="n">
        <f aca="false">G93*(A93-B93)</f>
        <v>35.9348290598289</v>
      </c>
      <c r="P93" s="23" t="n">
        <f aca="false">(A93-B93)*(I_Cout_ss*$Q$2+C93)</f>
        <v>55.3792735042732</v>
      </c>
      <c r="Q93" s="23" t="n">
        <f aca="false">(A93-B93)*(I_Cout_ss*$R$2+C93)</f>
        <v>25.4647435897435</v>
      </c>
    </row>
    <row r="94" customFormat="false" ht="12.75" hidden="false" customHeight="false" outlineLevel="0" collapsed="false">
      <c r="A94" s="23" t="n">
        <f aca="false">VINMAX</f>
        <v>50</v>
      </c>
      <c r="B94" s="246" t="n">
        <f aca="false">VINMAX*((ROW()-10)/104)</f>
        <v>40.3846153846154</v>
      </c>
      <c r="C94" s="247" t="n">
        <f aca="false">IF(B94&gt;=$H$2,IF($D$2="CC", $G$2, B94/$G$2), 0)</f>
        <v>0.3</v>
      </c>
      <c r="D94" s="248" t="n">
        <f aca="false">$B$2-B94*$J$2/($I$2*0.001)</f>
        <v>505.576208178439</v>
      </c>
      <c r="E94" s="248" t="n">
        <f aca="false">MIN(D94/(A94-B94),$C$2)</f>
        <v>52.5799256505577</v>
      </c>
      <c r="F94" s="247" t="n">
        <f aca="false">I_Cout_ss+C94</f>
        <v>3.55925925925926</v>
      </c>
      <c r="G94" s="248" t="n">
        <f aca="false">IF($F$2="YES", F94, E94)</f>
        <v>3.55925925925926</v>
      </c>
      <c r="H94" s="247" t="n">
        <f aca="false">G94-C94</f>
        <v>3.25925925925926</v>
      </c>
      <c r="I94" s="249" t="n">
        <f aca="false">(COUTMAX/1000000)*(B94-B93)/H94</f>
        <v>0.000590034965034925</v>
      </c>
      <c r="J94" s="250" t="n">
        <f aca="false">J93+I94</f>
        <v>0.0495629370629371</v>
      </c>
      <c r="K94" s="244" t="n">
        <f aca="false">J94*1000</f>
        <v>49.5629370629371</v>
      </c>
      <c r="L94" s="239" t="n">
        <f aca="false">H94/G94</f>
        <v>0.915712799167534</v>
      </c>
      <c r="M94" s="23" t="n">
        <f aca="false">1/COUTMAX*(E94/2-C94)*1000</f>
        <v>6.49749070631971</v>
      </c>
      <c r="N94" s="23" t="n">
        <f aca="false">I94*G94*(A94-B94)</f>
        <v>0.0201931481979545</v>
      </c>
      <c r="O94" s="23" t="n">
        <f aca="false">G94*(A94-B94)</f>
        <v>34.2236467236467</v>
      </c>
      <c r="P94" s="23" t="n">
        <f aca="false">(A94-B94)*(I_Cout_ss*$Q$2+C94)</f>
        <v>52.7421652421651</v>
      </c>
      <c r="Q94" s="23" t="n">
        <f aca="false">(A94-B94)*(I_Cout_ss*$R$2+C94)</f>
        <v>24.2521367521367</v>
      </c>
    </row>
    <row r="95" customFormat="false" ht="12.75" hidden="false" customHeight="false" outlineLevel="0" collapsed="false">
      <c r="A95" s="23" t="n">
        <f aca="false">VINMAX</f>
        <v>50</v>
      </c>
      <c r="B95" s="246" t="n">
        <f aca="false">VINMAX*((ROW()-10)/104)</f>
        <v>40.8653846153846</v>
      </c>
      <c r="C95" s="247" t="n">
        <f aca="false">IF(B95&gt;=$H$2,IF($D$2="CC", $G$2, B95/$G$2), 0)</f>
        <v>0.3</v>
      </c>
      <c r="D95" s="248" t="n">
        <f aca="false">$B$2-B95*$J$2/($I$2*0.001)</f>
        <v>505.576208178439</v>
      </c>
      <c r="E95" s="248" t="n">
        <f aca="false">MIN(D95/(A95-B95),$C$2)</f>
        <v>55.3472901584816</v>
      </c>
      <c r="F95" s="247" t="n">
        <f aca="false">I_Cout_ss+C95</f>
        <v>3.55925925925926</v>
      </c>
      <c r="G95" s="248" t="n">
        <f aca="false">IF($F$2="YES", F95, E95)</f>
        <v>3.55925925925926</v>
      </c>
      <c r="H95" s="247" t="n">
        <f aca="false">G95-C95</f>
        <v>3.25925925925926</v>
      </c>
      <c r="I95" s="249" t="n">
        <f aca="false">(COUTMAX/1000000)*(B95-B94)/H95</f>
        <v>0.000590034965034925</v>
      </c>
      <c r="J95" s="250" t="n">
        <f aca="false">J94+I95</f>
        <v>0.050152972027972</v>
      </c>
      <c r="K95" s="244" t="n">
        <f aca="false">J95*1000</f>
        <v>50.152972027972</v>
      </c>
      <c r="L95" s="239" t="n">
        <f aca="false">H95/G95</f>
        <v>0.915712799167534</v>
      </c>
      <c r="M95" s="23" t="n">
        <f aca="false">1/COUTMAX*(E95/2-C95)*1000</f>
        <v>6.8434112698102</v>
      </c>
      <c r="N95" s="23" t="n">
        <f aca="false">I95*G95*(A95-B95)</f>
        <v>0.0191834907880568</v>
      </c>
      <c r="O95" s="23" t="n">
        <f aca="false">G95*(A95-B95)</f>
        <v>32.5124643874644</v>
      </c>
      <c r="P95" s="23" t="n">
        <f aca="false">(A95-B95)*(I_Cout_ss*$Q$2+C95)</f>
        <v>50.105056980057</v>
      </c>
      <c r="Q95" s="23" t="n">
        <f aca="false">(A95-B95)*(I_Cout_ss*$R$2+C95)</f>
        <v>23.03952991453</v>
      </c>
    </row>
    <row r="96" customFormat="false" ht="12.75" hidden="false" customHeight="false" outlineLevel="0" collapsed="false">
      <c r="A96" s="23" t="n">
        <f aca="false">VINMAX</f>
        <v>50</v>
      </c>
      <c r="B96" s="246" t="n">
        <f aca="false">VINMAX*((ROW()-10)/104)</f>
        <v>41.3461538461539</v>
      </c>
      <c r="C96" s="247" t="n">
        <f aca="false">IF(B96&gt;=$H$2,IF($D$2="CC", $G$2, B96/$G$2), 0)</f>
        <v>0.3</v>
      </c>
      <c r="D96" s="248" t="n">
        <f aca="false">$B$2-B96*$J$2/($I$2*0.001)</f>
        <v>505.576208178439</v>
      </c>
      <c r="E96" s="248" t="n">
        <f aca="false">MIN(D96/(A96-B96),$C$2)</f>
        <v>58.422139611731</v>
      </c>
      <c r="F96" s="247" t="n">
        <f aca="false">I_Cout_ss+C96</f>
        <v>3.55925925925926</v>
      </c>
      <c r="G96" s="248" t="n">
        <f aca="false">IF($F$2="YES", F96, E96)</f>
        <v>3.55925925925926</v>
      </c>
      <c r="H96" s="247" t="n">
        <f aca="false">G96-C96</f>
        <v>3.25925925925926</v>
      </c>
      <c r="I96" s="249" t="n">
        <f aca="false">(COUTMAX/1000000)*(B96-B95)/H96</f>
        <v>0.000590034965035047</v>
      </c>
      <c r="J96" s="250" t="n">
        <f aca="false">J95+I96</f>
        <v>0.050743006993007</v>
      </c>
      <c r="K96" s="244" t="n">
        <f aca="false">J96*1000</f>
        <v>50.743006993007</v>
      </c>
      <c r="L96" s="239" t="n">
        <f aca="false">H96/G96</f>
        <v>0.915712799167534</v>
      </c>
      <c r="M96" s="23" t="n">
        <f aca="false">1/COUTMAX*(E96/2-C96)*1000</f>
        <v>7.22776745146638</v>
      </c>
      <c r="N96" s="23" t="n">
        <f aca="false">I96*G96*(A96-B96)</f>
        <v>0.0181738333781627</v>
      </c>
      <c r="O96" s="23" t="n">
        <f aca="false">G96*(A96-B96)</f>
        <v>30.8012820512819</v>
      </c>
      <c r="P96" s="23" t="n">
        <f aca="false">(A96-B96)*(I_Cout_ss*$Q$2+C96)</f>
        <v>47.4679487179484</v>
      </c>
      <c r="Q96" s="23" t="n">
        <f aca="false">(A96-B96)*(I_Cout_ss*$R$2+C96)</f>
        <v>21.826923076923</v>
      </c>
    </row>
    <row r="97" customFormat="false" ht="12.75" hidden="false" customHeight="false" outlineLevel="0" collapsed="false">
      <c r="A97" s="23" t="n">
        <f aca="false">VINMAX</f>
        <v>50</v>
      </c>
      <c r="B97" s="246" t="n">
        <f aca="false">VINMAX*((ROW()-10)/104)</f>
        <v>41.8269230769231</v>
      </c>
      <c r="C97" s="247" t="n">
        <f aca="false">IF(B97&gt;=$H$2,IF($D$2="CC", $G$2, B97/$G$2), 0)</f>
        <v>0.3</v>
      </c>
      <c r="D97" s="248" t="n">
        <f aca="false">$B$2-B97*$J$2/($I$2*0.001)</f>
        <v>505.576208178439</v>
      </c>
      <c r="E97" s="248" t="n">
        <f aca="false">MIN(D97/(A97-B97),$C$2)</f>
        <v>61.8587360594797</v>
      </c>
      <c r="F97" s="247" t="n">
        <f aca="false">I_Cout_ss+C97</f>
        <v>3.55925925925926</v>
      </c>
      <c r="G97" s="248" t="n">
        <f aca="false">IF($F$2="YES", F97, E97)</f>
        <v>3.55925925925926</v>
      </c>
      <c r="H97" s="247" t="n">
        <f aca="false">G97-C97</f>
        <v>3.25925925925926</v>
      </c>
      <c r="I97" s="249" t="n">
        <f aca="false">(COUTMAX/1000000)*(B97-B96)/H97</f>
        <v>0.000590034965034934</v>
      </c>
      <c r="J97" s="250" t="n">
        <f aca="false">J96+I97</f>
        <v>0.051333041958042</v>
      </c>
      <c r="K97" s="244" t="n">
        <f aca="false">J97*1000</f>
        <v>51.333041958042</v>
      </c>
      <c r="L97" s="239" t="n">
        <f aca="false">H97/G97</f>
        <v>0.915712799167534</v>
      </c>
      <c r="M97" s="23" t="n">
        <f aca="false">1/COUTMAX*(E97/2-C97)*1000</f>
        <v>7.65734200743497</v>
      </c>
      <c r="N97" s="23" t="n">
        <f aca="false">I97*G97*(A97-B97)</f>
        <v>0.0171641759682615</v>
      </c>
      <c r="O97" s="23" t="n">
        <f aca="false">G97*(A97-B97)</f>
        <v>29.0900997150996</v>
      </c>
      <c r="P97" s="23" t="n">
        <f aca="false">(A97-B97)*(I_Cout_ss*$Q$2+C97)</f>
        <v>44.8308404558403</v>
      </c>
      <c r="Q97" s="23" t="n">
        <f aca="false">(A97-B97)*(I_Cout_ss*$R$2+C97)</f>
        <v>20.6143162393162</v>
      </c>
    </row>
    <row r="98" customFormat="false" ht="12.75" hidden="false" customHeight="false" outlineLevel="0" collapsed="false">
      <c r="A98" s="23" t="n">
        <f aca="false">VINMAX</f>
        <v>50</v>
      </c>
      <c r="B98" s="246" t="n">
        <f aca="false">VINMAX*((ROW()-10)/104)</f>
        <v>42.3076923076923</v>
      </c>
      <c r="C98" s="247" t="n">
        <f aca="false">IF(B98&gt;=$H$2,IF($D$2="CC", $G$2, B98/$G$2), 0)</f>
        <v>0.3</v>
      </c>
      <c r="D98" s="248" t="n">
        <f aca="false">$B$2-B98*$J$2/($I$2*0.001)</f>
        <v>505.576208178439</v>
      </c>
      <c r="E98" s="248" t="n">
        <f aca="false">MIN(D98/(A98-B98),$C$2)</f>
        <v>65.724907063197</v>
      </c>
      <c r="F98" s="247" t="n">
        <f aca="false">I_Cout_ss+C98</f>
        <v>3.55925925925926</v>
      </c>
      <c r="G98" s="248" t="n">
        <f aca="false">IF($F$2="YES", F98, E98)</f>
        <v>3.55925925925926</v>
      </c>
      <c r="H98" s="247" t="n">
        <f aca="false">G98-C98</f>
        <v>3.25925925925926</v>
      </c>
      <c r="I98" s="249" t="n">
        <f aca="false">(COUTMAX/1000000)*(B98-B97)/H98</f>
        <v>0.000590034965034925</v>
      </c>
      <c r="J98" s="250" t="n">
        <f aca="false">J97+I98</f>
        <v>0.0519230769230769</v>
      </c>
      <c r="K98" s="244" t="n">
        <f aca="false">J98*1000</f>
        <v>51.9230769230769</v>
      </c>
      <c r="L98" s="239" t="n">
        <f aca="false">H98/G98</f>
        <v>0.915712799167534</v>
      </c>
      <c r="M98" s="23" t="n">
        <f aca="false">1/COUTMAX*(E98/2-C98)*1000</f>
        <v>8.14061338289962</v>
      </c>
      <c r="N98" s="23" t="n">
        <f aca="false">I98*G98*(A98-B98)</f>
        <v>0.0161545185583636</v>
      </c>
      <c r="O98" s="23" t="n">
        <f aca="false">G98*(A98-B98)</f>
        <v>27.3789173789174</v>
      </c>
      <c r="P98" s="23" t="n">
        <f aca="false">(A98-B98)*(I_Cout_ss*$Q$2+C98)</f>
        <v>42.1937321937322</v>
      </c>
      <c r="Q98" s="23" t="n">
        <f aca="false">(A98-B98)*(I_Cout_ss*$R$2+C98)</f>
        <v>19.4017094017094</v>
      </c>
    </row>
    <row r="99" customFormat="false" ht="12.75" hidden="false" customHeight="false" outlineLevel="0" collapsed="false">
      <c r="A99" s="23" t="n">
        <f aca="false">VINMAX</f>
        <v>50</v>
      </c>
      <c r="B99" s="246" t="n">
        <f aca="false">VINMAX*((ROW()-10)/104)</f>
        <v>42.7884615384615</v>
      </c>
      <c r="C99" s="247" t="n">
        <f aca="false">IF(B99&gt;=$H$2,IF($D$2="CC", $G$2, B99/$G$2), 0)</f>
        <v>0.3</v>
      </c>
      <c r="D99" s="248" t="n">
        <f aca="false">$B$2-B99*$J$2/($I$2*0.001)</f>
        <v>505.576208178439</v>
      </c>
      <c r="E99" s="248" t="n">
        <f aca="false">MIN(D99/(A99-B99),$C$2)</f>
        <v>70.1065675340764</v>
      </c>
      <c r="F99" s="247" t="n">
        <f aca="false">I_Cout_ss+C99</f>
        <v>3.55925925925926</v>
      </c>
      <c r="G99" s="248" t="n">
        <f aca="false">IF($F$2="YES", F99, E99)</f>
        <v>3.55925925925926</v>
      </c>
      <c r="H99" s="247" t="n">
        <f aca="false">G99-C99</f>
        <v>3.25925925925926</v>
      </c>
      <c r="I99" s="249" t="n">
        <f aca="false">(COUTMAX/1000000)*(B99-B98)/H99</f>
        <v>0.000590034965034925</v>
      </c>
      <c r="J99" s="250" t="n">
        <f aca="false">J98+I99</f>
        <v>0.0525131118881118</v>
      </c>
      <c r="K99" s="244" t="n">
        <f aca="false">J99*1000</f>
        <v>52.5131118881118</v>
      </c>
      <c r="L99" s="239" t="n">
        <f aca="false">H99/G99</f>
        <v>0.915712799167534</v>
      </c>
      <c r="M99" s="23" t="n">
        <f aca="false">1/COUTMAX*(E99/2-C99)*1000</f>
        <v>8.68832094175955</v>
      </c>
      <c r="N99" s="23" t="n">
        <f aca="false">I99*G99*(A99-B99)</f>
        <v>0.015144861148466</v>
      </c>
      <c r="O99" s="23" t="n">
        <f aca="false">G99*(A99-B99)</f>
        <v>25.6677350427352</v>
      </c>
      <c r="P99" s="23" t="n">
        <f aca="false">(A99-B99)*(I_Cout_ss*$Q$2+C99)</f>
        <v>39.5566239316241</v>
      </c>
      <c r="Q99" s="23" t="n">
        <f aca="false">(A99-B99)*(I_Cout_ss*$R$2+C99)</f>
        <v>18.1891025641027</v>
      </c>
    </row>
    <row r="100" customFormat="false" ht="12.75" hidden="false" customHeight="false" outlineLevel="0" collapsed="false">
      <c r="A100" s="23" t="n">
        <f aca="false">VINMAX</f>
        <v>50</v>
      </c>
      <c r="B100" s="246" t="n">
        <f aca="false">VINMAX*((ROW()-10)/104)</f>
        <v>43.2692307692308</v>
      </c>
      <c r="C100" s="247" t="n">
        <f aca="false">IF(B100&gt;=$H$2,IF($D$2="CC", $G$2, B100/$G$2), 0)</f>
        <v>0.3</v>
      </c>
      <c r="D100" s="248" t="n">
        <f aca="false">$B$2-B100*$J$2/($I$2*0.001)</f>
        <v>505.576208178439</v>
      </c>
      <c r="E100" s="248" t="n">
        <f aca="false">MIN(D100/(A100-B100),$C$2)</f>
        <v>75.114179500797</v>
      </c>
      <c r="F100" s="247" t="n">
        <f aca="false">I_Cout_ss+C100</f>
        <v>3.55925925925926</v>
      </c>
      <c r="G100" s="248" t="n">
        <f aca="false">IF($F$2="YES", F100, E100)</f>
        <v>3.55925925925926</v>
      </c>
      <c r="H100" s="247" t="n">
        <f aca="false">G100-C100</f>
        <v>3.25925925925926</v>
      </c>
      <c r="I100" s="249" t="n">
        <f aca="false">(COUTMAX/1000000)*(B100-B99)/H100</f>
        <v>0.000590034965035056</v>
      </c>
      <c r="J100" s="250" t="n">
        <f aca="false">J99+I100</f>
        <v>0.0531031468531469</v>
      </c>
      <c r="K100" s="244" t="n">
        <f aca="false">J100*1000</f>
        <v>53.1031468531469</v>
      </c>
      <c r="L100" s="239" t="n">
        <f aca="false">H100/G100</f>
        <v>0.915712799167534</v>
      </c>
      <c r="M100" s="23" t="n">
        <f aca="false">1/COUTMAX*(E100/2-C100)*1000</f>
        <v>9.31427243759962</v>
      </c>
      <c r="N100" s="23" t="n">
        <f aca="false">I100*G100*(A100-B100)</f>
        <v>0.0141352037385712</v>
      </c>
      <c r="O100" s="23" t="n">
        <f aca="false">G100*(A100-B100)</f>
        <v>23.9565527065526</v>
      </c>
      <c r="P100" s="23" t="n">
        <f aca="false">(A100-B100)*(I_Cout_ss*$Q$2+C100)</f>
        <v>36.9195156695155</v>
      </c>
      <c r="Q100" s="23" t="n">
        <f aca="false">(A100-B100)*(I_Cout_ss*$R$2+C100)</f>
        <v>16.9764957264956</v>
      </c>
    </row>
    <row r="101" customFormat="false" ht="12.75" hidden="false" customHeight="false" outlineLevel="0" collapsed="false">
      <c r="A101" s="23" t="n">
        <f aca="false">VINMAX</f>
        <v>50</v>
      </c>
      <c r="B101" s="246" t="n">
        <f aca="false">VINMAX*((ROW()-10)/104)</f>
        <v>43.75</v>
      </c>
      <c r="C101" s="247" t="n">
        <f aca="false">IF(B101&gt;=$H$2,IF($D$2="CC", $G$2, B101/$G$2), 0)</f>
        <v>0.3</v>
      </c>
      <c r="D101" s="248" t="n">
        <f aca="false">$B$2-B101*$J$2/($I$2*0.001)</f>
        <v>505.576208178439</v>
      </c>
      <c r="E101" s="248" t="n">
        <f aca="false">MIN(D101/(A101-B101),$C$2)</f>
        <v>80.8921933085502</v>
      </c>
      <c r="F101" s="247" t="n">
        <f aca="false">I_Cout_ss+C101</f>
        <v>3.55925925925926</v>
      </c>
      <c r="G101" s="248" t="n">
        <f aca="false">IF($F$2="YES", F101, E101)</f>
        <v>3.55925925925926</v>
      </c>
      <c r="H101" s="247" t="n">
        <f aca="false">G101-C101</f>
        <v>3.25925925925926</v>
      </c>
      <c r="I101" s="249" t="n">
        <f aca="false">(COUTMAX/1000000)*(B101-B100)/H101</f>
        <v>0.000590034965034925</v>
      </c>
      <c r="J101" s="250" t="n">
        <f aca="false">J100+I101</f>
        <v>0.0536931818181818</v>
      </c>
      <c r="K101" s="244" t="n">
        <f aca="false">J101*1000</f>
        <v>53.6931818181818</v>
      </c>
      <c r="L101" s="239" t="n">
        <f aca="false">H101/G101</f>
        <v>0.915712799167534</v>
      </c>
      <c r="M101" s="23" t="n">
        <f aca="false">1/COUTMAX*(E101/2-C101)*1000</f>
        <v>10.0365241635688</v>
      </c>
      <c r="N101" s="23" t="n">
        <f aca="false">I101*G101*(A101-B101)</f>
        <v>0.0131255463286704</v>
      </c>
      <c r="O101" s="23" t="n">
        <f aca="false">G101*(A101-B101)</f>
        <v>22.2453703703704</v>
      </c>
      <c r="P101" s="23" t="n">
        <f aca="false">(A101-B101)*(I_Cout_ss*$Q$2+C101)</f>
        <v>34.2824074074074</v>
      </c>
      <c r="Q101" s="23" t="n">
        <f aca="false">(A101-B101)*(I_Cout_ss*$R$2+C101)</f>
        <v>15.7638888888889</v>
      </c>
    </row>
    <row r="102" customFormat="false" ht="12.75" hidden="false" customHeight="false" outlineLevel="0" collapsed="false">
      <c r="A102" s="23" t="n">
        <f aca="false">VINMAX</f>
        <v>50</v>
      </c>
      <c r="B102" s="246" t="n">
        <f aca="false">VINMAX*((ROW()-10)/104)</f>
        <v>44.2307692307692</v>
      </c>
      <c r="C102" s="247" t="n">
        <f aca="false">IF(B102&gt;=$H$2,IF($D$2="CC", $G$2, B102/$G$2), 0)</f>
        <v>0.3</v>
      </c>
      <c r="D102" s="248" t="n">
        <f aca="false">$B$2-B102*$J$2/($I$2*0.001)</f>
        <v>505.576208178439</v>
      </c>
      <c r="E102" s="248" t="n">
        <f aca="false">MIN(D102/(A102-B102),$C$2)</f>
        <v>87.6332094175955</v>
      </c>
      <c r="F102" s="247" t="n">
        <f aca="false">I_Cout_ss+C102</f>
        <v>3.55925925925926</v>
      </c>
      <c r="G102" s="248" t="n">
        <f aca="false">IF($F$2="YES", F102, E102)</f>
        <v>3.55925925925926</v>
      </c>
      <c r="H102" s="247" t="n">
        <f aca="false">G102-C102</f>
        <v>3.25925925925926</v>
      </c>
      <c r="I102" s="249" t="n">
        <f aca="false">(COUTMAX/1000000)*(B102-B101)/H102</f>
        <v>0.000590034965034925</v>
      </c>
      <c r="J102" s="250" t="n">
        <f aca="false">J101+I102</f>
        <v>0.0542832167832167</v>
      </c>
      <c r="K102" s="244" t="n">
        <f aca="false">J102*1000</f>
        <v>54.2832167832167</v>
      </c>
      <c r="L102" s="239" t="n">
        <f aca="false">H102/G102</f>
        <v>0.915712799167534</v>
      </c>
      <c r="M102" s="23" t="n">
        <f aca="false">1/COUTMAX*(E102/2-C102)*1000</f>
        <v>10.8791511771994</v>
      </c>
      <c r="N102" s="23" t="n">
        <f aca="false">I102*G102*(A102-B102)</f>
        <v>0.0121158889187728</v>
      </c>
      <c r="O102" s="23" t="n">
        <f aca="false">G102*(A102-B102)</f>
        <v>20.5341880341882</v>
      </c>
      <c r="P102" s="23" t="n">
        <f aca="false">(A102-B102)*(I_Cout_ss*$Q$2+C102)</f>
        <v>31.6452991452993</v>
      </c>
      <c r="Q102" s="23" t="n">
        <f aca="false">(A102-B102)*(I_Cout_ss*$R$2+C102)</f>
        <v>14.5512820512821</v>
      </c>
    </row>
    <row r="103" customFormat="false" ht="12.75" hidden="false" customHeight="false" outlineLevel="0" collapsed="false">
      <c r="A103" s="23" t="n">
        <f aca="false">VINMAX</f>
        <v>50</v>
      </c>
      <c r="B103" s="246" t="n">
        <f aca="false">VINMAX*((ROW()-10)/104)</f>
        <v>44.7115384615385</v>
      </c>
      <c r="C103" s="247" t="n">
        <f aca="false">IF(B103&gt;=$H$2,IF($D$2="CC", $G$2, B103/$G$2), 0)</f>
        <v>0.3</v>
      </c>
      <c r="D103" s="248" t="n">
        <f aca="false">$B$2-B103*$J$2/($I$2*0.001)</f>
        <v>505.576208178439</v>
      </c>
      <c r="E103" s="248" t="n">
        <f aca="false">MIN(D103/(A103-B103),$C$2)</f>
        <v>95.5998648191964</v>
      </c>
      <c r="F103" s="247" t="n">
        <f aca="false">I_Cout_ss+C103</f>
        <v>3.55925925925926</v>
      </c>
      <c r="G103" s="248" t="n">
        <f aca="false">IF($F$2="YES", F103, E103)</f>
        <v>3.55925925925926</v>
      </c>
      <c r="H103" s="247" t="n">
        <f aca="false">G103-C103</f>
        <v>3.25925925925926</v>
      </c>
      <c r="I103" s="249" t="n">
        <f aca="false">(COUTMAX/1000000)*(B103-B102)/H103</f>
        <v>0.000590034965035056</v>
      </c>
      <c r="J103" s="250" t="n">
        <f aca="false">J102+I103</f>
        <v>0.0548732517482518</v>
      </c>
      <c r="K103" s="244" t="n">
        <f aca="false">J103*1000</f>
        <v>54.8732517482518</v>
      </c>
      <c r="L103" s="239" t="n">
        <f aca="false">H103/G103</f>
        <v>0.915712799167534</v>
      </c>
      <c r="M103" s="23" t="n">
        <f aca="false">1/COUTMAX*(E103/2-C103)*1000</f>
        <v>11.8749831023996</v>
      </c>
      <c r="N103" s="23" t="n">
        <f aca="false">I103*G103*(A103-B103)</f>
        <v>0.0111062315088774</v>
      </c>
      <c r="O103" s="23" t="n">
        <f aca="false">G103*(A103-B103)</f>
        <v>18.8230056980056</v>
      </c>
      <c r="P103" s="23" t="n">
        <f aca="false">(A103-B103)*(I_Cout_ss*$Q$2+C103)</f>
        <v>29.0081908831906</v>
      </c>
      <c r="Q103" s="23" t="n">
        <f aca="false">(A103-B103)*(I_Cout_ss*$R$2+C103)</f>
        <v>13.3386752136751</v>
      </c>
    </row>
    <row r="104" customFormat="false" ht="12.75" hidden="false" customHeight="false" outlineLevel="0" collapsed="false">
      <c r="A104" s="23" t="n">
        <f aca="false">VINMAX</f>
        <v>50</v>
      </c>
      <c r="B104" s="246" t="n">
        <f aca="false">VINMAX*((ROW()-10)/104)</f>
        <v>45.1923076923077</v>
      </c>
      <c r="C104" s="247" t="n">
        <f aca="false">IF(B104&gt;=$H$2,IF($D$2="CC", $G$2, B104/$G$2), 0)</f>
        <v>0.3</v>
      </c>
      <c r="D104" s="248" t="n">
        <f aca="false">$B$2-B104*$J$2/($I$2*0.001)</f>
        <v>505.576208178439</v>
      </c>
      <c r="E104" s="248" t="n">
        <f aca="false">MIN(D104/(A104-B104),$C$2)</f>
        <v>100</v>
      </c>
      <c r="F104" s="247" t="n">
        <f aca="false">I_Cout_ss+C104</f>
        <v>3.55925925925926</v>
      </c>
      <c r="G104" s="248" t="n">
        <f aca="false">IF($F$2="YES", F104, E104)</f>
        <v>3.55925925925926</v>
      </c>
      <c r="H104" s="247" t="n">
        <f aca="false">G104-C104</f>
        <v>3.25925925925926</v>
      </c>
      <c r="I104" s="249" t="n">
        <f aca="false">(COUTMAX/1000000)*(B104-B103)/H104</f>
        <v>0.000590034965034925</v>
      </c>
      <c r="J104" s="250" t="n">
        <f aca="false">J103+I104</f>
        <v>0.0554632867132867</v>
      </c>
      <c r="K104" s="244" t="n">
        <f aca="false">J104*1000</f>
        <v>55.4632867132867</v>
      </c>
      <c r="L104" s="239" t="n">
        <f aca="false">H104/G104</f>
        <v>0.915712799167534</v>
      </c>
      <c r="M104" s="23" t="n">
        <f aca="false">1/COUTMAX*(E104/2-C104)*1000</f>
        <v>12.425</v>
      </c>
      <c r="N104" s="23" t="n">
        <f aca="false">I104*G104*(A104-B104)</f>
        <v>0.0100965740989772</v>
      </c>
      <c r="O104" s="23" t="n">
        <f aca="false">G104*(A104-B104)</f>
        <v>17.1118233618233</v>
      </c>
      <c r="P104" s="23" t="n">
        <f aca="false">(A104-B104)*(I_Cout_ss*$Q$2+C104)</f>
        <v>26.3710826210826</v>
      </c>
      <c r="Q104" s="23" t="n">
        <f aca="false">(A104-B104)*(I_Cout_ss*$R$2+C104)</f>
        <v>12.1260683760684</v>
      </c>
    </row>
    <row r="105" customFormat="false" ht="12.75" hidden="false" customHeight="false" outlineLevel="0" collapsed="false">
      <c r="A105" s="23" t="n">
        <f aca="false">VINMAX</f>
        <v>50</v>
      </c>
      <c r="B105" s="246" t="n">
        <f aca="false">VINMAX*((ROW()-10)/104)</f>
        <v>45.6730769230769</v>
      </c>
      <c r="C105" s="247" t="n">
        <f aca="false">IF(B105&gt;=$H$2,IF($D$2="CC", $G$2, B105/$G$2), 0)</f>
        <v>0.3</v>
      </c>
      <c r="D105" s="248" t="n">
        <f aca="false">$B$2-B105*$J$2/($I$2*0.001)</f>
        <v>505.576208178439</v>
      </c>
      <c r="E105" s="248" t="n">
        <f aca="false">MIN(D105/(A105-B105),$C$2)</f>
        <v>100</v>
      </c>
      <c r="F105" s="247" t="n">
        <f aca="false">I_Cout_ss+C105</f>
        <v>3.55925925925926</v>
      </c>
      <c r="G105" s="248" t="n">
        <f aca="false">IF($F$2="YES", F105, E105)</f>
        <v>3.55925925925926</v>
      </c>
      <c r="H105" s="247" t="n">
        <f aca="false">G105-C105</f>
        <v>3.25925925925926</v>
      </c>
      <c r="I105" s="249" t="n">
        <f aca="false">(COUTMAX/1000000)*(B105-B104)/H105</f>
        <v>0.000590034965034925</v>
      </c>
      <c r="J105" s="250" t="n">
        <f aca="false">J104+I105</f>
        <v>0.0560533216783216</v>
      </c>
      <c r="K105" s="244" t="n">
        <f aca="false">J105*1000</f>
        <v>56.0533216783216</v>
      </c>
      <c r="L105" s="239" t="n">
        <f aca="false">H105/G105</f>
        <v>0.915712799167534</v>
      </c>
      <c r="M105" s="23" t="n">
        <f aca="false">1/COUTMAX*(E105/2-C105)*1000</f>
        <v>12.425</v>
      </c>
      <c r="N105" s="23" t="n">
        <f aca="false">I105*G105*(A105-B105)</f>
        <v>0.00908691668907958</v>
      </c>
      <c r="O105" s="23" t="n">
        <f aca="false">G105*(A105-B105)</f>
        <v>15.4006410256411</v>
      </c>
      <c r="P105" s="23" t="n">
        <f aca="false">(A105-B105)*(I_Cout_ss*$Q$2+C105)</f>
        <v>23.7339743589745</v>
      </c>
      <c r="Q105" s="23" t="n">
        <f aca="false">(A105-B105)*(I_Cout_ss*$R$2+C105)</f>
        <v>10.9134615384616</v>
      </c>
    </row>
    <row r="106" customFormat="false" ht="12.75" hidden="false" customHeight="false" outlineLevel="0" collapsed="false">
      <c r="A106" s="23" t="n">
        <f aca="false">VINMAX</f>
        <v>50</v>
      </c>
      <c r="B106" s="246" t="n">
        <f aca="false">VINMAX*((ROW()-10)/104)</f>
        <v>46.1538461538462</v>
      </c>
      <c r="C106" s="247" t="n">
        <f aca="false">IF(B106&gt;=$H$2,IF($D$2="CC", $G$2, B106/$G$2), 0)</f>
        <v>0.3</v>
      </c>
      <c r="D106" s="248" t="n">
        <f aca="false">$B$2-B106*$J$2/($I$2*0.001)</f>
        <v>505.576208178439</v>
      </c>
      <c r="E106" s="248" t="n">
        <f aca="false">MIN(D106/(A106-B106),$C$2)</f>
        <v>100</v>
      </c>
      <c r="F106" s="247" t="n">
        <f aca="false">I_Cout_ss+C106</f>
        <v>3.55925925925926</v>
      </c>
      <c r="G106" s="248" t="n">
        <f aca="false">IF($F$2="YES", F106, E106)</f>
        <v>3.55925925925926</v>
      </c>
      <c r="H106" s="247" t="n">
        <f aca="false">G106-C106</f>
        <v>3.25925925925926</v>
      </c>
      <c r="I106" s="249" t="n">
        <f aca="false">(COUTMAX/1000000)*(B106-B105)/H106</f>
        <v>0.000590034965035056</v>
      </c>
      <c r="J106" s="250" t="n">
        <f aca="false">J105+I106</f>
        <v>0.0566433566433567</v>
      </c>
      <c r="K106" s="244" t="n">
        <f aca="false">J106*1000</f>
        <v>56.6433566433567</v>
      </c>
      <c r="L106" s="239" t="n">
        <f aca="false">H106/G106</f>
        <v>0.915712799167534</v>
      </c>
      <c r="M106" s="23" t="n">
        <f aca="false">1/COUTMAX*(E106/2-C106)*1000</f>
        <v>12.425</v>
      </c>
      <c r="N106" s="23" t="n">
        <f aca="false">I106*G106*(A106-B106)</f>
        <v>0.00807725927918349</v>
      </c>
      <c r="O106" s="23" t="n">
        <f aca="false">G106*(A106-B106)</f>
        <v>13.6894586894585</v>
      </c>
      <c r="P106" s="23" t="n">
        <f aca="false">(A106-B106)*(I_Cout_ss*$Q$2+C106)</f>
        <v>21.0968660968658</v>
      </c>
      <c r="Q106" s="23" t="n">
        <f aca="false">(A106-B106)*(I_Cout_ss*$R$2+C106)</f>
        <v>9.70085470085458</v>
      </c>
    </row>
    <row r="107" customFormat="false" ht="12.75" hidden="false" customHeight="false" outlineLevel="0" collapsed="false">
      <c r="A107" s="23" t="n">
        <f aca="false">VINMAX</f>
        <v>50</v>
      </c>
      <c r="B107" s="246" t="n">
        <f aca="false">VINMAX*((ROW()-10)/104)</f>
        <v>46.6346153846154</v>
      </c>
      <c r="C107" s="247" t="n">
        <f aca="false">IF(B107&gt;=$H$2,IF($D$2="CC", $G$2, B107/$G$2), 0)</f>
        <v>0.3</v>
      </c>
      <c r="D107" s="248" t="n">
        <f aca="false">$B$2-B107*$J$2/($I$2*0.001)</f>
        <v>505.576208178439</v>
      </c>
      <c r="E107" s="248" t="n">
        <f aca="false">MIN(D107/(A107-B107),$C$2)</f>
        <v>100</v>
      </c>
      <c r="F107" s="247" t="n">
        <f aca="false">I_Cout_ss+C107</f>
        <v>3.55925925925926</v>
      </c>
      <c r="G107" s="248" t="n">
        <f aca="false">IF($F$2="YES", F107, E107)</f>
        <v>3.55925925925926</v>
      </c>
      <c r="H107" s="247" t="n">
        <f aca="false">G107-C107</f>
        <v>3.25925925925926</v>
      </c>
      <c r="I107" s="249" t="n">
        <f aca="false">(COUTMAX/1000000)*(B107-B106)/H107</f>
        <v>0.000590034965034925</v>
      </c>
      <c r="J107" s="250" t="n">
        <f aca="false">J106+I107</f>
        <v>0.0572333916083916</v>
      </c>
      <c r="K107" s="244" t="n">
        <f aca="false">J107*1000</f>
        <v>57.2333916083916</v>
      </c>
      <c r="L107" s="239" t="n">
        <f aca="false">H107/G107</f>
        <v>0.915712799167534</v>
      </c>
      <c r="M107" s="23" t="n">
        <f aca="false">1/COUTMAX*(E107/2-C107)*1000</f>
        <v>12.425</v>
      </c>
      <c r="N107" s="23" t="n">
        <f aca="false">I107*G107*(A107-B107)</f>
        <v>0.00706760186928404</v>
      </c>
      <c r="O107" s="23" t="n">
        <f aca="false">G107*(A107-B107)</f>
        <v>11.9782763532763</v>
      </c>
      <c r="P107" s="23" t="n">
        <f aca="false">(A107-B107)*(I_Cout_ss*$Q$2+C107)</f>
        <v>18.4597578347577</v>
      </c>
      <c r="Q107" s="23" t="n">
        <f aca="false">(A107-B107)*(I_Cout_ss*$R$2+C107)</f>
        <v>8.48824786324782</v>
      </c>
    </row>
    <row r="108" customFormat="false" ht="12.75" hidden="false" customHeight="false" outlineLevel="0" collapsed="false">
      <c r="A108" s="23" t="n">
        <f aca="false">VINMAX</f>
        <v>50</v>
      </c>
      <c r="B108" s="246" t="n">
        <f aca="false">VINMAX*((ROW()-10)/104)</f>
        <v>47.1153846153846</v>
      </c>
      <c r="C108" s="247" t="n">
        <f aca="false">IF(B108&gt;=$H$2,IF($D$2="CC", $G$2, B108/$G$2), 0)</f>
        <v>0.3</v>
      </c>
      <c r="D108" s="248" t="n">
        <f aca="false">$B$2-B108*$J$2/($I$2*0.001)</f>
        <v>505.576208178439</v>
      </c>
      <c r="E108" s="248" t="n">
        <f aca="false">MIN(D108/(A108-B108),$C$2)</f>
        <v>100</v>
      </c>
      <c r="F108" s="247" t="n">
        <f aca="false">I_Cout_ss+C108</f>
        <v>3.55925925925926</v>
      </c>
      <c r="G108" s="248" t="n">
        <f aca="false">IF($F$2="YES", F108, E108)</f>
        <v>3.55925925925926</v>
      </c>
      <c r="H108" s="247" t="n">
        <f aca="false">G108-C108</f>
        <v>3.25925925925926</v>
      </c>
      <c r="I108" s="249" t="n">
        <f aca="false">(COUTMAX/1000000)*(B108-B107)/H108</f>
        <v>0.000590034965034925</v>
      </c>
      <c r="J108" s="250" t="n">
        <f aca="false">J107+I108</f>
        <v>0.0578234265734265</v>
      </c>
      <c r="K108" s="244" t="n">
        <f aca="false">J108*1000</f>
        <v>57.8234265734265</v>
      </c>
      <c r="L108" s="239" t="n">
        <f aca="false">H108/G108</f>
        <v>0.915712799167534</v>
      </c>
      <c r="M108" s="23" t="n">
        <f aca="false">1/COUTMAX*(E108/2-C108)*1000</f>
        <v>12.425</v>
      </c>
      <c r="N108" s="23" t="n">
        <f aca="false">I108*G108*(A108-B108)</f>
        <v>0.00605794445938639</v>
      </c>
      <c r="O108" s="23" t="n">
        <f aca="false">G108*(A108-B108)</f>
        <v>10.2670940170941</v>
      </c>
      <c r="P108" s="23" t="n">
        <f aca="false">(A108-B108)*(I_Cout_ss*$Q$2+C108)</f>
        <v>15.8226495726497</v>
      </c>
      <c r="Q108" s="23" t="n">
        <f aca="false">(A108-B108)*(I_Cout_ss*$R$2+C108)</f>
        <v>7.27564102564107</v>
      </c>
    </row>
    <row r="109" customFormat="false" ht="12.75" hidden="false" customHeight="false" outlineLevel="0" collapsed="false">
      <c r="A109" s="23" t="n">
        <f aca="false">VINMAX</f>
        <v>50</v>
      </c>
      <c r="B109" s="246" t="n">
        <f aca="false">VINMAX*((ROW()-10)/104)</f>
        <v>47.5961538461539</v>
      </c>
      <c r="C109" s="247" t="n">
        <f aca="false">IF(B109&gt;=$H$2,IF($D$2="CC", $G$2, B109/$G$2), 0)</f>
        <v>0.3</v>
      </c>
      <c r="D109" s="248" t="n">
        <f aca="false">$B$2-B109*$J$2/($I$2*0.001)</f>
        <v>505.576208178439</v>
      </c>
      <c r="E109" s="248" t="n">
        <f aca="false">MIN(D109/(A109-B109),$C$2)</f>
        <v>100</v>
      </c>
      <c r="F109" s="247" t="n">
        <f aca="false">I_Cout_ss+C109</f>
        <v>3.55925925925926</v>
      </c>
      <c r="G109" s="248" t="n">
        <f aca="false">IF($F$2="YES", F109, E109)</f>
        <v>3.55925925925926</v>
      </c>
      <c r="H109" s="247" t="n">
        <f aca="false">G109-C109</f>
        <v>3.25925925925926</v>
      </c>
      <c r="I109" s="249" t="n">
        <f aca="false">(COUTMAX/1000000)*(B109-B108)/H109</f>
        <v>0.000590034965035047</v>
      </c>
      <c r="J109" s="250" t="n">
        <f aca="false">J108+I109</f>
        <v>0.0584134615384616</v>
      </c>
      <c r="K109" s="244" t="n">
        <f aca="false">J109*1000</f>
        <v>58.4134615384616</v>
      </c>
      <c r="L109" s="239" t="n">
        <f aca="false">H109/G109</f>
        <v>0.915712799167534</v>
      </c>
      <c r="M109" s="23" t="n">
        <f aca="false">1/COUTMAX*(E109/2-C109)*1000</f>
        <v>12.425</v>
      </c>
      <c r="N109" s="23" t="n">
        <f aca="false">I109*G109*(A109-B109)</f>
        <v>0.00504828704948957</v>
      </c>
      <c r="O109" s="23" t="n">
        <f aca="false">G109*(A109-B109)</f>
        <v>8.5559116809115</v>
      </c>
      <c r="P109" s="23" t="n">
        <f aca="false">(A109-B109)*(I_Cout_ss*$Q$2+C109)</f>
        <v>13.185541310541</v>
      </c>
      <c r="Q109" s="23" t="n">
        <f aca="false">(A109-B109)*(I_Cout_ss*$R$2+C109)</f>
        <v>6.06303418803406</v>
      </c>
    </row>
    <row r="110" customFormat="false" ht="12.75" hidden="false" customHeight="false" outlineLevel="0" collapsed="false">
      <c r="A110" s="23" t="n">
        <f aca="false">VINMAX</f>
        <v>50</v>
      </c>
      <c r="B110" s="246" t="n">
        <f aca="false">VINMAX*((ROW()-10)/104)</f>
        <v>48.0769230769231</v>
      </c>
      <c r="C110" s="247" t="n">
        <f aca="false">IF(B110&gt;=$H$2,IF($D$2="CC", $G$2, B110/$G$2), 0)</f>
        <v>0.3</v>
      </c>
      <c r="D110" s="248" t="n">
        <f aca="false">$B$2-B110*$J$2/($I$2*0.001)</f>
        <v>505.576208178439</v>
      </c>
      <c r="E110" s="248" t="n">
        <f aca="false">MIN(D110/(A110-B110),$C$2)</f>
        <v>100</v>
      </c>
      <c r="F110" s="247" t="n">
        <f aca="false">I_Cout_ss+C110</f>
        <v>3.55925925925926</v>
      </c>
      <c r="G110" s="248" t="n">
        <f aca="false">IF($F$2="YES", F110, E110)</f>
        <v>3.55925925925926</v>
      </c>
      <c r="H110" s="247" t="n">
        <f aca="false">G110-C110</f>
        <v>3.25925925925926</v>
      </c>
      <c r="I110" s="249" t="n">
        <f aca="false">(COUTMAX/1000000)*(B110-B109)/H110</f>
        <v>0.000590034965034934</v>
      </c>
      <c r="J110" s="250" t="n">
        <f aca="false">J109+I110</f>
        <v>0.0590034965034965</v>
      </c>
      <c r="K110" s="244" t="n">
        <f aca="false">J110*1000</f>
        <v>59.0034965034965</v>
      </c>
      <c r="L110" s="239" t="n">
        <f aca="false">H110/G110</f>
        <v>0.915712799167534</v>
      </c>
      <c r="M110" s="23" t="n">
        <f aca="false">1/COUTMAX*(E110/2-C110)*1000</f>
        <v>12.425</v>
      </c>
      <c r="N110" s="23" t="n">
        <f aca="false">I110*G110*(A110-B110)</f>
        <v>0.00403862963959091</v>
      </c>
      <c r="O110" s="23" t="n">
        <f aca="false">G110*(A110-B110)</f>
        <v>6.84472934472926</v>
      </c>
      <c r="P110" s="23" t="n">
        <f aca="false">(A110-B110)*(I_Cout_ss*$Q$2+C110)</f>
        <v>10.5484330484329</v>
      </c>
      <c r="Q110" s="23" t="n">
        <f aca="false">(A110-B110)*(I_Cout_ss*$R$2+C110)</f>
        <v>4.85042735042729</v>
      </c>
    </row>
    <row r="111" customFormat="false" ht="12.75" hidden="false" customHeight="false" outlineLevel="0" collapsed="false">
      <c r="A111" s="23" t="n">
        <f aca="false">VINMAX</f>
        <v>50</v>
      </c>
      <c r="B111" s="246" t="n">
        <f aca="false">VINMAX*((ROW()-10)/104)</f>
        <v>48.5576923076923</v>
      </c>
      <c r="C111" s="247" t="n">
        <f aca="false">IF(B111&gt;=$H$2,IF($D$2="CC", $G$2, B111/$G$2), 0)</f>
        <v>0.3</v>
      </c>
      <c r="D111" s="248" t="n">
        <f aca="false">$B$2-B111*$J$2/($I$2*0.001)</f>
        <v>505.576208178439</v>
      </c>
      <c r="E111" s="248" t="n">
        <f aca="false">$C$2</f>
        <v>100</v>
      </c>
      <c r="F111" s="247" t="n">
        <f aca="false">I_Cout_ss+C111</f>
        <v>3.55925925925926</v>
      </c>
      <c r="G111" s="248" t="n">
        <f aca="false">IF($F$2="YES", F111, E111)</f>
        <v>3.55925925925926</v>
      </c>
      <c r="H111" s="247" t="n">
        <f aca="false">G111-C111</f>
        <v>3.25925925925926</v>
      </c>
      <c r="I111" s="249" t="n">
        <f aca="false">(COUTMAX/1000000)*(B111-B110)/H111</f>
        <v>0.000590034965034925</v>
      </c>
      <c r="J111" s="250" t="n">
        <f aca="false">J110+I111</f>
        <v>0.0595935314685314</v>
      </c>
      <c r="K111" s="244" t="n">
        <f aca="false">J111*1000</f>
        <v>59.5935314685314</v>
      </c>
      <c r="L111" s="239" t="n">
        <f aca="false">H111/G111</f>
        <v>0.915712799167534</v>
      </c>
      <c r="M111" s="23" t="n">
        <f aca="false">1/COUTMAX*(E111/2-C111)*1000</f>
        <v>12.425</v>
      </c>
      <c r="N111" s="23" t="n">
        <f aca="false">I111*G111*(A111-B111)</f>
        <v>0.00302897222969319</v>
      </c>
      <c r="O111" s="23" t="n">
        <f aca="false">G111*(A111-B111)</f>
        <v>5.13354700854704</v>
      </c>
      <c r="P111" s="23" t="n">
        <f aca="false">(A111-B111)*(I_Cout_ss*$Q$2+C111)</f>
        <v>7.91132478632483</v>
      </c>
      <c r="Q111" s="23" t="n">
        <f aca="false">(A111-B111)*(I_Cout_ss*$R$2+C111)</f>
        <v>3.63782051282053</v>
      </c>
    </row>
    <row r="112" customFormat="false" ht="12.75" hidden="false" customHeight="false" outlineLevel="0" collapsed="false">
      <c r="A112" s="23" t="n">
        <f aca="false">VINMAX</f>
        <v>50</v>
      </c>
      <c r="B112" s="246" t="n">
        <f aca="false">VINMAX*((ROW()-10)/104)</f>
        <v>49.0384615384615</v>
      </c>
      <c r="C112" s="247" t="n">
        <f aca="false">IF(B112&gt;=$H$2,IF($D$2="CC", $G$2, B112/$G$2), 0)</f>
        <v>0.3</v>
      </c>
      <c r="D112" s="248" t="n">
        <f aca="false">$B$2-B112*$J$2/($I$2*0.001)</f>
        <v>505.576208178439</v>
      </c>
      <c r="E112" s="248" t="n">
        <f aca="false">$C$2</f>
        <v>100</v>
      </c>
      <c r="F112" s="247" t="n">
        <f aca="false">I_Cout_ss+C112</f>
        <v>3.55925925925926</v>
      </c>
      <c r="G112" s="248" t="n">
        <f aca="false">IF($F$2="YES", F112, E112)</f>
        <v>3.55925925925926</v>
      </c>
      <c r="H112" s="247" t="n">
        <f aca="false">G112-C112</f>
        <v>3.25925925925926</v>
      </c>
      <c r="I112" s="249" t="n">
        <f aca="false">(COUTMAX/1000000)*(B112-B111)/H112</f>
        <v>0.000590034965034925</v>
      </c>
      <c r="J112" s="250" t="n">
        <f aca="false">J111+I112</f>
        <v>0.0601835664335663</v>
      </c>
      <c r="K112" s="244" t="n">
        <f aca="false">J112*1000</f>
        <v>60.1835664335663</v>
      </c>
      <c r="L112" s="239" t="n">
        <f aca="false">H112/G112</f>
        <v>0.915712799167534</v>
      </c>
      <c r="M112" s="23" t="n">
        <f aca="false">1/COUTMAX*(E112/2-C112)*1000</f>
        <v>12.425</v>
      </c>
      <c r="N112" s="23" t="n">
        <f aca="false">I112*G112*(A112-B112)</f>
        <v>0.00201931481979554</v>
      </c>
      <c r="O112" s="23" t="n">
        <f aca="false">G112*(A112-B112)</f>
        <v>3.42236467236482</v>
      </c>
      <c r="P112" s="23" t="n">
        <f aca="false">(A112-B112)*(I_Cout_ss*$Q$2+C112)</f>
        <v>5.27421652421675</v>
      </c>
      <c r="Q112" s="23" t="n">
        <f aca="false">(A112-B112)*(I_Cout_ss*$R$2+C112)</f>
        <v>2.42521367521378</v>
      </c>
    </row>
    <row r="113" customFormat="false" ht="12.75" hidden="false" customHeight="false" outlineLevel="0" collapsed="false">
      <c r="A113" s="23" t="n">
        <f aca="false">VINMAX</f>
        <v>50</v>
      </c>
      <c r="B113" s="246" t="n">
        <f aca="false">VINMAX*((ROW()-10)/104)</f>
        <v>49.5192307692308</v>
      </c>
      <c r="C113" s="247" t="n">
        <f aca="false">IF(B113&gt;=$H$2,IF($D$2="CC", $G$2, B113/$G$2), 0)</f>
        <v>0.3</v>
      </c>
      <c r="D113" s="248" t="n">
        <f aca="false">$B$2-B113*$J$2/($I$2*0.001)</f>
        <v>505.576208178439</v>
      </c>
      <c r="E113" s="248" t="n">
        <f aca="false">$C$2</f>
        <v>100</v>
      </c>
      <c r="F113" s="247" t="n">
        <f aca="false">I_Cout_ss+C113</f>
        <v>3.55925925925926</v>
      </c>
      <c r="G113" s="248" t="n">
        <f aca="false">IF($F$2="YES", F113, E113)</f>
        <v>3.55925925925926</v>
      </c>
      <c r="H113" s="247" t="n">
        <f aca="false">G113-C113</f>
        <v>3.25925925925926</v>
      </c>
      <c r="I113" s="249" t="n">
        <f aca="false">(COUTMAX/1000000)*(B113-B112)/H113</f>
        <v>0.000590034965035056</v>
      </c>
      <c r="J113" s="250" t="n">
        <f aca="false">J112+I113</f>
        <v>0.0607736013986014</v>
      </c>
      <c r="K113" s="244" t="n">
        <f aca="false">J113*1000</f>
        <v>60.7736013986014</v>
      </c>
      <c r="L113" s="239" t="n">
        <f aca="false">H113/G113</f>
        <v>0.915712799167534</v>
      </c>
      <c r="M113" s="23" t="n">
        <f aca="false">1/COUTMAX*(E113/2-C113)*1000</f>
        <v>12.425</v>
      </c>
      <c r="N113" s="23" t="n">
        <f aca="false">I113*G113*(A113-B113)</f>
        <v>0.00100965740989788</v>
      </c>
      <c r="O113" s="23" t="n">
        <f aca="false">G113*(A113-B113)</f>
        <v>1.71118233618222</v>
      </c>
      <c r="P113" s="23" t="n">
        <f aca="false">(A113-B113)*(I_Cout_ss*$Q$2+C113)</f>
        <v>2.63710826210808</v>
      </c>
      <c r="Q113" s="23" t="n">
        <f aca="false">(A113-B113)*(I_Cout_ss*$R$2+C113)</f>
        <v>1.21260683760676</v>
      </c>
    </row>
    <row r="114" customFormat="false" ht="12.75" hidden="false" customHeight="false" outlineLevel="0" collapsed="false">
      <c r="A114" s="23" t="n">
        <f aca="false">VINMAX</f>
        <v>50</v>
      </c>
      <c r="B114" s="246" t="n">
        <f aca="false">VINMAX*((ROW()-10)/104)</f>
        <v>50</v>
      </c>
      <c r="C114" s="247" t="n">
        <f aca="false">IF(B114&gt;=$H$2,IF($D$2="CC", $G$2, B114/$G$2), 0)</f>
        <v>0.3</v>
      </c>
      <c r="D114" s="248" t="n">
        <f aca="false">$B$2-B114*$J$2/($I$2*0.001)</f>
        <v>505.576208178439</v>
      </c>
      <c r="E114" s="248" t="n">
        <f aca="false">$C$2</f>
        <v>100</v>
      </c>
      <c r="F114" s="247" t="n">
        <f aca="false">I_Cout_ss+C114</f>
        <v>3.55925925925926</v>
      </c>
      <c r="G114" s="248" t="n">
        <f aca="false">IF($F$2="YES", F114, E114)</f>
        <v>3.55925925925926</v>
      </c>
      <c r="H114" s="247" t="n">
        <f aca="false">G114-C114</f>
        <v>3.25925925925926</v>
      </c>
      <c r="I114" s="249" t="n">
        <f aca="false">(COUTMAX/1000000)*(B114-B113)/H114</f>
        <v>0.000590034965034925</v>
      </c>
      <c r="J114" s="250" t="n">
        <f aca="false">J113+I114</f>
        <v>0.0613636363636363</v>
      </c>
      <c r="K114" s="244" t="n">
        <f aca="false">J114*1000</f>
        <v>61.3636363636363</v>
      </c>
      <c r="L114" s="239" t="n">
        <f aca="false">H114/G114</f>
        <v>0.915712799167534</v>
      </c>
      <c r="M114" s="23" t="n">
        <f aca="false">1/COUTMAX*(E114/2-C114)*1000</f>
        <v>12.425</v>
      </c>
      <c r="N114" s="23" t="n">
        <f aca="false">I114*G114*(A114-B114)</f>
        <v>0</v>
      </c>
      <c r="O114" s="23" t="n">
        <f aca="false">G114*(A114-B114)</f>
        <v>0</v>
      </c>
      <c r="P114" s="23" t="n">
        <f aca="false">(A114-B114)*(I_Cout_ss*$Q$2+C114)</f>
        <v>0</v>
      </c>
      <c r="Q114" s="23" t="n">
        <f aca="false">(A114-B114)*(I_Cout_ss*$R$2+C114)</f>
        <v>0</v>
      </c>
    </row>
    <row r="115" customFormat="false" ht="12.75" hidden="false" customHeight="false" outlineLevel="0" collapsed="false">
      <c r="K115" s="254" t="n">
        <f aca="false">K114+0.5</f>
        <v>61.8636363636363</v>
      </c>
      <c r="N115" s="23" t="n">
        <v>0</v>
      </c>
      <c r="O115" s="23" t="n">
        <v>0</v>
      </c>
    </row>
  </sheetData>
  <mergeCells count="1">
    <mergeCell ref="X12:Y1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70"/>
  <sheetViews>
    <sheetView showFormulas="false" showGridLines="true" showRowColHeaders="true" showZeros="true" rightToLeft="false" tabSelected="false" showOutlineSymbols="true" defaultGridColor="true" view="normal" topLeftCell="A14" colorId="64" zoomScale="85" zoomScaleNormal="85" zoomScalePageLayoutView="100" workbookViewId="0">
      <selection pane="topLeft" activeCell="F39" activeCellId="0" sqref="F39"/>
    </sheetView>
  </sheetViews>
  <sheetFormatPr defaultColWidth="8.70703125" defaultRowHeight="12.75" zeroHeight="false" outlineLevelRow="0" outlineLevelCol="0"/>
  <cols>
    <col collapsed="false" customWidth="true" hidden="false" outlineLevel="0" max="2" min="1" style="0" width="19.72"/>
    <col collapsed="false" customWidth="true" hidden="false" outlineLevel="0" max="3" min="3" style="0" width="13.13"/>
    <col collapsed="false" customWidth="true" hidden="false" outlineLevel="0" max="4" min="4" style="0" width="16"/>
    <col collapsed="false" customWidth="true" hidden="false" outlineLevel="0" max="6" min="5" style="0" width="17.73"/>
    <col collapsed="false" customWidth="true" hidden="false" outlineLevel="0" max="7" min="7" style="0" width="31.62"/>
    <col collapsed="false" customWidth="true" hidden="false" outlineLevel="0" max="8" min="8" style="0" width="19.99"/>
    <col collapsed="false" customWidth="true" hidden="false" outlineLevel="0" max="13" min="13" style="0" width="12.86"/>
    <col collapsed="false" customWidth="true" hidden="false" outlineLevel="0" max="15" min="15" style="0" width="17.26"/>
    <col collapsed="false" customWidth="true" hidden="false" outlineLevel="0" max="17" min="17" style="0" width="13.29"/>
    <col collapsed="false" customWidth="true" hidden="false" outlineLevel="0" max="18" min="18" style="0" width="16.87"/>
    <col collapsed="false" customWidth="true" hidden="false" outlineLevel="0" max="20" min="20" style="0" width="13.02"/>
    <col collapsed="false" customWidth="true" hidden="false" outlineLevel="0" max="21" min="21" style="0" width="10.12"/>
  </cols>
  <sheetData>
    <row r="1" customFormat="false" ht="12.75" hidden="false" customHeight="false" outlineLevel="0" collapsed="false">
      <c r="A1" s="23"/>
      <c r="B1" s="23"/>
      <c r="C1" s="255"/>
      <c r="D1" s="255"/>
      <c r="E1" s="255"/>
      <c r="F1" s="255"/>
      <c r="G1" s="255"/>
      <c r="H1" s="23"/>
      <c r="I1" s="23"/>
      <c r="J1" s="23"/>
      <c r="K1" s="23"/>
      <c r="L1" s="23"/>
      <c r="M1" s="23"/>
      <c r="N1" s="23"/>
      <c r="O1" s="23"/>
      <c r="P1" s="23"/>
      <c r="Q1" s="23"/>
      <c r="R1" s="23"/>
      <c r="S1" s="23"/>
      <c r="T1" s="23"/>
      <c r="U1" s="23"/>
      <c r="V1" s="23"/>
    </row>
    <row r="2" customFormat="false" ht="12.75" hidden="false" customHeight="false" outlineLevel="0" collapsed="false">
      <c r="A2" s="253"/>
      <c r="B2" s="256"/>
      <c r="C2" s="257" t="s">
        <v>315</v>
      </c>
      <c r="D2" s="257"/>
      <c r="E2" s="257"/>
      <c r="F2" s="258"/>
      <c r="G2" s="258"/>
      <c r="H2" s="259" t="s">
        <v>316</v>
      </c>
      <c r="I2" s="255"/>
      <c r="J2" s="255"/>
      <c r="K2" s="255"/>
      <c r="L2" s="255"/>
      <c r="M2" s="255"/>
      <c r="N2" s="255"/>
      <c r="O2" s="258"/>
      <c r="P2" s="258"/>
      <c r="Q2" s="258"/>
      <c r="R2" s="258"/>
      <c r="S2" s="258"/>
      <c r="T2" s="258"/>
      <c r="U2" s="255"/>
      <c r="V2" s="255"/>
    </row>
    <row r="3" customFormat="false" ht="12.75" hidden="false" customHeight="false" outlineLevel="0" collapsed="false">
      <c r="A3" s="253"/>
      <c r="B3" s="252" t="s">
        <v>317</v>
      </c>
      <c r="C3" s="252" t="s">
        <v>318</v>
      </c>
      <c r="D3" s="252" t="s">
        <v>319</v>
      </c>
      <c r="E3" s="252" t="s">
        <v>320</v>
      </c>
      <c r="F3" s="252" t="s">
        <v>321</v>
      </c>
      <c r="G3" s="260"/>
      <c r="H3" s="259" t="s">
        <v>322</v>
      </c>
      <c r="I3" s="258"/>
      <c r="J3" s="258"/>
      <c r="K3" s="258"/>
      <c r="L3" s="258"/>
      <c r="M3" s="258"/>
      <c r="N3" s="255"/>
      <c r="O3" s="258"/>
      <c r="P3" s="258"/>
      <c r="Q3" s="261"/>
      <c r="R3" s="261"/>
      <c r="S3" s="261"/>
      <c r="T3" s="261"/>
      <c r="U3" s="255"/>
      <c r="V3" s="255"/>
    </row>
    <row r="4" customFormat="false" ht="21.6" hidden="false" customHeight="true" outlineLevel="0" collapsed="false">
      <c r="A4" s="252" t="s">
        <v>323</v>
      </c>
      <c r="B4" s="253" t="n">
        <f aca="false">'Design Calculator'!AN55</f>
        <v>120</v>
      </c>
      <c r="C4" s="262" t="n">
        <f aca="false">'Design Calculator'!$AN$56</f>
        <v>30</v>
      </c>
      <c r="D4" s="262" t="n">
        <f aca="false">'Design Calculator'!$AN$57</f>
        <v>12</v>
      </c>
      <c r="E4" s="262" t="n">
        <f aca="false">IF('Design Calculator'!$AN$58 = "NA", F4, 'Design Calculator'!$AN$58)</f>
        <v>5</v>
      </c>
      <c r="F4" s="262" t="n">
        <f aca="false">'Design Calculator'!AN59</f>
        <v>2</v>
      </c>
      <c r="G4" s="263"/>
      <c r="H4" s="259" t="s">
        <v>324</v>
      </c>
      <c r="I4" s="258"/>
      <c r="J4" s="258"/>
      <c r="K4" s="258"/>
      <c r="L4" s="261"/>
      <c r="M4" s="261"/>
      <c r="N4" s="255"/>
      <c r="O4" s="258"/>
      <c r="P4" s="258"/>
      <c r="Q4" s="261"/>
      <c r="R4" s="261"/>
      <c r="S4" s="261"/>
      <c r="T4" s="261"/>
      <c r="U4" s="255"/>
      <c r="V4" s="255"/>
    </row>
    <row r="5" customFormat="false" ht="12.75" hidden="false" customHeight="false" outlineLevel="0" collapsed="false">
      <c r="A5" s="255"/>
      <c r="B5" s="23"/>
      <c r="C5" s="258"/>
      <c r="D5" s="261"/>
      <c r="E5" s="261"/>
      <c r="F5" s="261"/>
      <c r="G5" s="261"/>
      <c r="H5" s="255"/>
      <c r="I5" s="258"/>
      <c r="J5" s="258"/>
      <c r="K5" s="258"/>
      <c r="L5" s="261"/>
      <c r="M5" s="261"/>
      <c r="N5" s="264"/>
      <c r="O5" s="264"/>
      <c r="P5" s="264"/>
      <c r="Q5" s="261"/>
      <c r="R5" s="265"/>
      <c r="S5" s="265"/>
      <c r="T5" s="265"/>
      <c r="U5" s="255"/>
      <c r="V5" s="255"/>
    </row>
    <row r="6" customFormat="false" ht="12.75" hidden="false" customHeight="false" outlineLevel="0" collapsed="false">
      <c r="A6" s="255"/>
      <c r="B6" s="23"/>
      <c r="C6" s="258"/>
      <c r="D6" s="261"/>
      <c r="E6" s="261"/>
      <c r="F6" s="261"/>
      <c r="G6" s="261"/>
      <c r="H6" s="255"/>
      <c r="I6" s="258"/>
      <c r="J6" s="258"/>
      <c r="K6" s="258"/>
      <c r="L6" s="261"/>
      <c r="M6" s="261"/>
      <c r="N6" s="255"/>
      <c r="O6" s="260"/>
      <c r="P6" s="255"/>
      <c r="Q6" s="255"/>
      <c r="R6" s="255"/>
      <c r="S6" s="255"/>
      <c r="T6" s="255"/>
      <c r="U6" s="255"/>
      <c r="V6" s="255"/>
    </row>
    <row r="7" customFormat="false" ht="14.25" hidden="false" customHeight="false" outlineLevel="0" collapsed="false">
      <c r="A7" s="255"/>
      <c r="B7" s="237" t="s">
        <v>325</v>
      </c>
      <c r="C7" s="23"/>
      <c r="D7" s="23"/>
      <c r="E7" s="23"/>
      <c r="F7" s="23"/>
      <c r="G7" s="266" t="s">
        <v>326</v>
      </c>
      <c r="H7" s="255"/>
      <c r="I7" s="23"/>
      <c r="J7" s="264"/>
      <c r="K7" s="261"/>
      <c r="L7" s="255"/>
      <c r="M7" s="255"/>
      <c r="N7" s="260"/>
      <c r="O7" s="260"/>
      <c r="P7" s="260"/>
      <c r="Q7" s="255"/>
      <c r="R7" s="255"/>
      <c r="S7" s="255"/>
      <c r="T7" s="267"/>
      <c r="U7" s="258"/>
      <c r="V7" s="255"/>
    </row>
    <row r="8" customFormat="false" ht="14.25" hidden="false" customHeight="false" outlineLevel="0" collapsed="false">
      <c r="A8" s="255"/>
      <c r="B8" s="259" t="s">
        <v>327</v>
      </c>
      <c r="C8" s="23" t="n">
        <f aca="false">IF('Design Calculator'!F71="No", 'Design Calculator'!$F$77,'Design Calculator'!F90)</f>
        <v>1.6</v>
      </c>
      <c r="D8" s="259" t="s">
        <v>101</v>
      </c>
      <c r="E8" s="23"/>
      <c r="F8" s="23"/>
      <c r="G8" s="259" t="s">
        <v>327</v>
      </c>
      <c r="H8" s="23" t="n">
        <f aca="false">Equations!F70</f>
        <v>30.3868006993007</v>
      </c>
      <c r="I8" s="23"/>
      <c r="J8" s="268"/>
      <c r="K8" s="261"/>
      <c r="L8" s="255"/>
      <c r="M8" s="255"/>
      <c r="N8" s="260"/>
      <c r="O8" s="255"/>
      <c r="P8" s="267"/>
      <c r="Q8" s="255"/>
      <c r="R8" s="255"/>
      <c r="S8" s="255"/>
      <c r="T8" s="267"/>
      <c r="U8" s="258"/>
      <c r="V8" s="255"/>
    </row>
    <row r="9" customFormat="false" ht="14.25" hidden="false" customHeight="false" outlineLevel="0" collapsed="false">
      <c r="A9" s="255"/>
      <c r="B9" s="259" t="s">
        <v>328</v>
      </c>
      <c r="C9" s="23" t="n">
        <f aca="false">VINMAX</f>
        <v>50</v>
      </c>
      <c r="D9" s="23" t="s">
        <v>39</v>
      </c>
      <c r="E9" s="23"/>
      <c r="F9" s="23"/>
      <c r="G9" s="259" t="s">
        <v>328</v>
      </c>
      <c r="H9" s="23" t="n">
        <f aca="false">VINMAX</f>
        <v>50</v>
      </c>
      <c r="I9" s="23"/>
      <c r="J9" s="23"/>
      <c r="K9" s="261"/>
      <c r="L9" s="255"/>
      <c r="M9" s="255"/>
      <c r="N9" s="260"/>
      <c r="O9" s="255"/>
      <c r="P9" s="267"/>
      <c r="Q9" s="255"/>
      <c r="R9" s="255"/>
      <c r="S9" s="255"/>
      <c r="T9" s="267"/>
      <c r="U9" s="255"/>
      <c r="V9" s="255"/>
    </row>
    <row r="10" customFormat="false" ht="14.25" hidden="false" customHeight="false" outlineLevel="0" collapsed="false">
      <c r="A10" s="255"/>
      <c r="B10" s="259" t="s">
        <v>329</v>
      </c>
      <c r="C10" s="23" t="n">
        <f aca="false">IF(C8&lt;10, IF(C8&lt;1, 0.1, 1), IF(C8&lt;100, 10, 100))</f>
        <v>1</v>
      </c>
      <c r="D10" s="259" t="s">
        <v>101</v>
      </c>
      <c r="E10" s="23"/>
      <c r="F10" s="23"/>
      <c r="G10" s="259" t="s">
        <v>329</v>
      </c>
      <c r="H10" s="23" t="n">
        <f aca="false">IF(H8&lt;10, IF(H8&lt;1, 0.1, 1), IF(H8&lt;100, 10, 100))</f>
        <v>10</v>
      </c>
      <c r="I10" s="23"/>
      <c r="J10" s="23"/>
      <c r="K10" s="261"/>
      <c r="L10" s="255"/>
      <c r="M10" s="255"/>
      <c r="N10" s="260"/>
      <c r="O10" s="255"/>
      <c r="P10" s="267"/>
      <c r="Q10" s="255"/>
      <c r="R10" s="255"/>
      <c r="S10" s="255"/>
      <c r="T10" s="267"/>
      <c r="U10" s="255"/>
      <c r="V10" s="255"/>
    </row>
    <row r="11" customFormat="false" ht="14.25" hidden="false" customHeight="false" outlineLevel="0" collapsed="false">
      <c r="A11" s="255"/>
      <c r="B11" s="259" t="s">
        <v>330</v>
      </c>
      <c r="C11" s="23" t="n">
        <f aca="false">IF('Design Calculator'!F58="NA", MIN(SOA!C10,1),SOA!C10)</f>
        <v>1</v>
      </c>
      <c r="D11" s="259"/>
      <c r="E11" s="23"/>
      <c r="F11" s="23"/>
      <c r="G11" s="259" t="s">
        <v>330</v>
      </c>
      <c r="H11" s="23" t="n">
        <f aca="false">IF('Design Calculator'!F58="NA", MIN(SOA!H10,1),SOA!H10)</f>
        <v>10</v>
      </c>
      <c r="I11" s="23"/>
      <c r="J11" s="23"/>
      <c r="K11" s="261"/>
      <c r="L11" s="255"/>
      <c r="M11" s="255"/>
      <c r="N11" s="255"/>
      <c r="O11" s="255"/>
      <c r="P11" s="267"/>
      <c r="Q11" s="255"/>
      <c r="R11" s="255"/>
      <c r="S11" s="255"/>
      <c r="T11" s="255"/>
      <c r="U11" s="255"/>
      <c r="V11" s="255"/>
    </row>
    <row r="12" customFormat="false" ht="12.75" hidden="false" customHeight="false" outlineLevel="0" collapsed="false">
      <c r="A12" s="255"/>
      <c r="B12" s="259" t="s">
        <v>331</v>
      </c>
      <c r="C12" s="23" t="n">
        <f aca="false">C10*10</f>
        <v>10</v>
      </c>
      <c r="D12" s="259" t="s">
        <v>101</v>
      </c>
      <c r="E12" s="23"/>
      <c r="F12" s="23"/>
      <c r="G12" s="259" t="s">
        <v>332</v>
      </c>
      <c r="H12" s="23" t="n">
        <f aca="false">H10*10</f>
        <v>100</v>
      </c>
      <c r="I12" s="23"/>
      <c r="J12" s="23"/>
      <c r="K12" s="261"/>
      <c r="L12" s="255"/>
      <c r="M12" s="255"/>
      <c r="N12" s="255"/>
      <c r="O12" s="255"/>
      <c r="P12" s="255"/>
      <c r="Q12" s="255"/>
      <c r="R12" s="255"/>
      <c r="S12" s="255"/>
      <c r="T12" s="255"/>
      <c r="U12" s="255"/>
      <c r="V12" s="255"/>
    </row>
    <row r="13" customFormat="false" ht="12.75" hidden="false" customHeight="false" outlineLevel="0" collapsed="false">
      <c r="A13" s="255"/>
      <c r="B13" s="259" t="s">
        <v>333</v>
      </c>
      <c r="C13" s="23" t="n">
        <f aca="false">IF('Design Calculator'!F59="NA", MIN(SOA!C12,10),SOA!C12)</f>
        <v>10</v>
      </c>
      <c r="D13" s="259"/>
      <c r="E13" s="23"/>
      <c r="F13" s="23"/>
      <c r="G13" s="259" t="s">
        <v>333</v>
      </c>
      <c r="H13" s="23" t="n">
        <f aca="false">IF('Design Calculator'!F59="NA", MIN(SOA!H12,10),SOA!H12)</f>
        <v>100</v>
      </c>
      <c r="I13" s="23"/>
      <c r="J13" s="23"/>
      <c r="K13" s="261"/>
      <c r="L13" s="255"/>
      <c r="M13" s="255"/>
      <c r="N13" s="255"/>
      <c r="O13" s="255"/>
      <c r="P13" s="255"/>
      <c r="Q13" s="255"/>
      <c r="R13" s="255"/>
      <c r="S13" s="255"/>
      <c r="T13" s="255"/>
      <c r="U13" s="255"/>
      <c r="V13" s="255"/>
    </row>
    <row r="14" customFormat="false" ht="12.75" hidden="false" customHeight="false" outlineLevel="0" collapsed="false">
      <c r="A14" s="255"/>
      <c r="B14" s="259" t="s">
        <v>334</v>
      </c>
      <c r="C14" s="23" t="n">
        <f aca="false">IF(C11=0.1, B4, IF(C11=1, C4, IF(C11=10, D4, E4)))</f>
        <v>30</v>
      </c>
      <c r="D14" s="259" t="s">
        <v>43</v>
      </c>
      <c r="E14" s="23"/>
      <c r="F14" s="23"/>
      <c r="G14" s="259" t="s">
        <v>334</v>
      </c>
      <c r="H14" s="23" t="n">
        <f aca="false">IF(H11=0.1, B4, IF(H11=1, C4, IF(H11=10, D4, E4)))</f>
        <v>12</v>
      </c>
      <c r="I14" s="23"/>
      <c r="J14" s="23"/>
      <c r="K14" s="261"/>
      <c r="L14" s="255"/>
      <c r="M14" s="255"/>
      <c r="N14" s="255"/>
      <c r="O14" s="255"/>
      <c r="P14" s="255"/>
      <c r="Q14" s="255"/>
      <c r="R14" s="255"/>
      <c r="S14" s="255"/>
      <c r="T14" s="255"/>
      <c r="U14" s="255"/>
      <c r="V14" s="255"/>
    </row>
    <row r="15" customFormat="false" ht="12.75" hidden="false" customHeight="false" outlineLevel="0" collapsed="false">
      <c r="A15" s="255"/>
      <c r="B15" s="259" t="s">
        <v>335</v>
      </c>
      <c r="C15" s="23" t="n">
        <f aca="false">IF(C13=1000, F4, IF(C13=1, C4, IF(C13=10, D4, E4)))</f>
        <v>12</v>
      </c>
      <c r="D15" s="259" t="s">
        <v>43</v>
      </c>
      <c r="E15" s="23"/>
      <c r="F15" s="23"/>
      <c r="G15" s="259" t="s">
        <v>335</v>
      </c>
      <c r="H15" s="23" t="n">
        <f aca="false">IF(H13=1000, F4, IF(H13=1, C4, IF(H13=10, D4, E4)))</f>
        <v>5</v>
      </c>
      <c r="I15" s="23"/>
      <c r="J15" s="23"/>
      <c r="K15" s="261"/>
      <c r="L15" s="255"/>
      <c r="M15" s="255"/>
      <c r="N15" s="255"/>
      <c r="O15" s="255"/>
      <c r="P15" s="255"/>
      <c r="Q15" s="255"/>
      <c r="R15" s="255"/>
      <c r="S15" s="255"/>
      <c r="T15" s="255"/>
      <c r="U15" s="255"/>
      <c r="V15" s="255"/>
    </row>
    <row r="16" customFormat="false" ht="12.75" hidden="false" customHeight="false" outlineLevel="0" collapsed="false">
      <c r="A16" s="255"/>
      <c r="B16" s="23"/>
      <c r="C16" s="23"/>
      <c r="D16" s="23"/>
      <c r="E16" s="23"/>
      <c r="F16" s="23"/>
      <c r="G16" s="23"/>
      <c r="H16" s="23"/>
      <c r="I16" s="23"/>
      <c r="J16" s="23"/>
      <c r="K16" s="261"/>
      <c r="L16" s="255"/>
      <c r="M16" s="255"/>
      <c r="N16" s="255"/>
      <c r="O16" s="255"/>
      <c r="P16" s="255"/>
      <c r="Q16" s="255"/>
      <c r="R16" s="255"/>
      <c r="S16" s="255"/>
      <c r="T16" s="255"/>
      <c r="U16" s="255"/>
      <c r="V16" s="255"/>
    </row>
    <row r="17" customFormat="false" ht="12.75" hidden="false" customHeight="false" outlineLevel="0" collapsed="false">
      <c r="A17" s="255"/>
      <c r="B17" s="259" t="s">
        <v>336</v>
      </c>
      <c r="C17" s="23"/>
      <c r="D17" s="23"/>
      <c r="E17" s="23"/>
      <c r="F17" s="23"/>
      <c r="G17" s="259" t="s">
        <v>336</v>
      </c>
      <c r="H17" s="23"/>
      <c r="I17" s="23"/>
      <c r="J17" s="23"/>
      <c r="K17" s="261"/>
      <c r="L17" s="255"/>
      <c r="M17" s="255"/>
      <c r="N17" s="255"/>
      <c r="O17" s="255"/>
      <c r="P17" s="255"/>
      <c r="Q17" s="255"/>
      <c r="R17" s="255"/>
      <c r="S17" s="255"/>
      <c r="T17" s="255"/>
      <c r="U17" s="255"/>
      <c r="V17" s="255"/>
    </row>
    <row r="18" customFormat="false" ht="12.75" hidden="false" customHeight="false" outlineLevel="0" collapsed="false">
      <c r="A18" s="255"/>
      <c r="B18" s="259" t="s">
        <v>337</v>
      </c>
      <c r="C18" s="23" t="n">
        <f aca="false">C14/C11^C19</f>
        <v>30</v>
      </c>
      <c r="D18" s="23"/>
      <c r="E18" s="23"/>
      <c r="F18" s="259"/>
      <c r="G18" s="259" t="s">
        <v>337</v>
      </c>
      <c r="H18" s="23" t="n">
        <f aca="false">H14/H11^H19</f>
        <v>28.8</v>
      </c>
      <c r="I18" s="23"/>
      <c r="J18" s="23"/>
      <c r="K18" s="23"/>
      <c r="L18" s="23"/>
      <c r="M18" s="23"/>
      <c r="N18" s="23"/>
      <c r="O18" s="269"/>
      <c r="P18" s="269"/>
      <c r="Q18" s="255"/>
      <c r="R18" s="255"/>
      <c r="S18" s="255"/>
      <c r="T18" s="255"/>
      <c r="U18" s="255"/>
      <c r="V18" s="255"/>
    </row>
    <row r="19" customFormat="false" ht="12.75" hidden="false" customHeight="false" outlineLevel="0" collapsed="false">
      <c r="A19" s="255"/>
      <c r="B19" s="259" t="s">
        <v>338</v>
      </c>
      <c r="C19" s="23" t="n">
        <f aca="false">LOG(C14/C15)/LOG(C11/C13)</f>
        <v>-0.397940008672038</v>
      </c>
      <c r="D19" s="23"/>
      <c r="E19" s="23"/>
      <c r="F19" s="259"/>
      <c r="G19" s="259" t="s">
        <v>338</v>
      </c>
      <c r="H19" s="23" t="n">
        <f aca="false">IF(H14=H15,0.000000000001,LOG(H14/H15)/LOG(H11/H13))</f>
        <v>-0.380211241711606</v>
      </c>
      <c r="I19" s="259" t="s">
        <v>339</v>
      </c>
      <c r="J19" s="23"/>
      <c r="K19" s="261"/>
      <c r="L19" s="255"/>
      <c r="M19" s="269"/>
      <c r="N19" s="269"/>
      <c r="O19" s="255"/>
      <c r="P19" s="255"/>
      <c r="Q19" s="255"/>
      <c r="R19" s="255"/>
      <c r="S19" s="255"/>
      <c r="T19" s="255"/>
      <c r="U19" s="255"/>
      <c r="V19" s="255"/>
    </row>
    <row r="20" customFormat="false" ht="12.75" hidden="false" customHeight="false" outlineLevel="0" collapsed="false">
      <c r="A20" s="255"/>
      <c r="B20" s="259" t="s">
        <v>340</v>
      </c>
      <c r="C20" s="23" t="n">
        <f aca="false">C18*C8^C19</f>
        <v>24.8824847775415</v>
      </c>
      <c r="D20" s="259" t="s">
        <v>43</v>
      </c>
      <c r="E20" s="23"/>
      <c r="F20" s="23"/>
      <c r="G20" s="259" t="s">
        <v>340</v>
      </c>
      <c r="H20" s="23" t="n">
        <f aca="false">H18*H8^H19</f>
        <v>7.86428042915117</v>
      </c>
      <c r="I20" s="23"/>
      <c r="J20" s="23"/>
      <c r="K20" s="261"/>
      <c r="L20" s="255"/>
      <c r="M20" s="260"/>
      <c r="N20" s="255"/>
      <c r="O20" s="255"/>
      <c r="P20" s="255"/>
      <c r="Q20" s="255"/>
      <c r="R20" s="255"/>
      <c r="S20" s="255"/>
      <c r="T20" s="255"/>
      <c r="U20" s="255"/>
      <c r="V20" s="255"/>
    </row>
    <row r="21" customFormat="false" ht="12.75" hidden="false" customHeight="false" outlineLevel="0" collapsed="false">
      <c r="A21" s="255"/>
      <c r="B21" s="23"/>
      <c r="C21" s="23"/>
      <c r="D21" s="23"/>
      <c r="E21" s="23"/>
      <c r="F21" s="23"/>
      <c r="G21" s="23"/>
      <c r="H21" s="23"/>
      <c r="I21" s="23"/>
      <c r="J21" s="23"/>
      <c r="K21" s="261"/>
      <c r="L21" s="255"/>
      <c r="M21" s="255"/>
      <c r="N21" s="258"/>
      <c r="O21" s="255"/>
      <c r="P21" s="255"/>
      <c r="Q21" s="255"/>
      <c r="R21" s="255"/>
      <c r="S21" s="255"/>
      <c r="T21" s="255"/>
      <c r="U21" s="255"/>
      <c r="V21" s="255"/>
    </row>
    <row r="22" customFormat="false" ht="12.75" hidden="false" customHeight="false" outlineLevel="0" collapsed="false">
      <c r="A22" s="255"/>
      <c r="B22" s="270" t="s">
        <v>341</v>
      </c>
      <c r="C22" s="23" t="n">
        <f aca="false">C20*C9</f>
        <v>1244.12423887708</v>
      </c>
      <c r="D22" s="259"/>
      <c r="E22" s="23"/>
      <c r="F22" s="23"/>
      <c r="G22" s="270" t="s">
        <v>341</v>
      </c>
      <c r="H22" s="23" t="n">
        <f aca="false">IF(H8&lt;1, H14, H20)*H9</f>
        <v>393.214021457559</v>
      </c>
      <c r="I22" s="23"/>
      <c r="J22" s="23"/>
      <c r="K22" s="261"/>
      <c r="L22" s="255"/>
      <c r="M22" s="255"/>
      <c r="N22" s="255"/>
      <c r="O22" s="255"/>
      <c r="P22" s="255"/>
      <c r="Q22" s="255"/>
      <c r="R22" s="255"/>
      <c r="S22" s="255"/>
      <c r="T22" s="255"/>
      <c r="U22" s="255"/>
      <c r="V22" s="255"/>
    </row>
    <row r="23" customFormat="false" ht="12.75" hidden="false" customHeight="false" outlineLevel="0" collapsed="false">
      <c r="A23" s="255"/>
      <c r="B23" s="23"/>
      <c r="C23" s="23"/>
      <c r="D23" s="23"/>
      <c r="E23" s="23"/>
      <c r="F23" s="23"/>
      <c r="G23" s="23"/>
      <c r="H23" s="23"/>
      <c r="I23" s="23"/>
      <c r="J23" s="23"/>
      <c r="K23" s="261"/>
      <c r="L23" s="255"/>
      <c r="M23" s="255"/>
      <c r="N23" s="255"/>
      <c r="O23" s="255"/>
      <c r="P23" s="255"/>
      <c r="Q23" s="255"/>
      <c r="R23" s="255"/>
      <c r="S23" s="255"/>
      <c r="T23" s="255"/>
      <c r="U23" s="255"/>
      <c r="V23" s="255"/>
    </row>
    <row r="24" customFormat="false" ht="12.75" hidden="false" customHeight="false" outlineLevel="0" collapsed="false">
      <c r="A24" s="255"/>
      <c r="B24" s="23"/>
      <c r="C24" s="23"/>
      <c r="D24" s="23"/>
      <c r="E24" s="23"/>
      <c r="F24" s="23"/>
      <c r="G24" s="259" t="s">
        <v>342</v>
      </c>
      <c r="H24" s="23" t="str">
        <f aca="false">'Design Calculator'!F79</f>
        <v>No</v>
      </c>
      <c r="I24" s="23"/>
      <c r="J24" s="23"/>
      <c r="K24" s="261"/>
      <c r="L24" s="255"/>
      <c r="M24" s="255"/>
      <c r="N24" s="255"/>
      <c r="O24" s="258"/>
      <c r="P24" s="255"/>
      <c r="Q24" s="255"/>
      <c r="R24" s="255"/>
      <c r="S24" s="255"/>
      <c r="T24" s="255"/>
      <c r="U24" s="255"/>
      <c r="V24" s="255"/>
    </row>
    <row r="25" customFormat="false" ht="12.75" hidden="false" customHeight="false" outlineLevel="0" collapsed="false">
      <c r="A25" s="255"/>
      <c r="B25" s="268" t="s">
        <v>343</v>
      </c>
      <c r="C25" s="23" t="n">
        <f aca="false">(TJMAX-TJ)/(TJMAX-25)</f>
        <v>0.62225</v>
      </c>
      <c r="D25" s="261"/>
      <c r="E25" s="261"/>
      <c r="F25" s="261"/>
      <c r="G25" s="259" t="s">
        <v>344</v>
      </c>
      <c r="H25" s="23" t="n">
        <f aca="false">IF(H24="Yes", TJ,TAMB)</f>
        <v>55</v>
      </c>
      <c r="I25" s="23"/>
      <c r="J25" s="23"/>
      <c r="K25" s="261"/>
      <c r="L25" s="255"/>
      <c r="M25" s="255"/>
      <c r="N25" s="255"/>
      <c r="O25" s="258"/>
      <c r="P25" s="255"/>
      <c r="Q25" s="255"/>
      <c r="R25" s="255"/>
      <c r="S25" s="255"/>
      <c r="T25" s="255"/>
      <c r="U25" s="255"/>
      <c r="V25" s="255"/>
    </row>
    <row r="26" customFormat="false" ht="12.75" hidden="false" customHeight="false" outlineLevel="0" collapsed="false">
      <c r="A26" s="255"/>
      <c r="B26" s="271" t="s">
        <v>345</v>
      </c>
      <c r="C26" s="23" t="n">
        <f aca="false">IF((C22*C25)&lt;0,0.000000001,C22*C25)</f>
        <v>774.15630764126</v>
      </c>
      <c r="D26" s="272" t="s">
        <v>56</v>
      </c>
      <c r="E26" s="261"/>
      <c r="F26" s="261"/>
      <c r="G26" s="23"/>
      <c r="H26" s="23"/>
      <c r="I26" s="23"/>
      <c r="J26" s="23"/>
      <c r="K26" s="261"/>
      <c r="L26" s="255"/>
      <c r="M26" s="255"/>
      <c r="N26" s="255"/>
      <c r="O26" s="255"/>
      <c r="P26" s="255"/>
      <c r="Q26" s="255"/>
      <c r="R26" s="255"/>
      <c r="S26" s="255"/>
      <c r="T26" s="255"/>
      <c r="U26" s="255"/>
      <c r="V26" s="255"/>
    </row>
    <row r="27" customFormat="false" ht="12.75" hidden="false" customHeight="false" outlineLevel="0" collapsed="false">
      <c r="A27" s="255"/>
      <c r="B27" s="258"/>
      <c r="C27" s="258"/>
      <c r="D27" s="261"/>
      <c r="E27" s="261"/>
      <c r="F27" s="261"/>
      <c r="G27" s="268" t="s">
        <v>343</v>
      </c>
      <c r="H27" s="23" t="n">
        <f aca="false">(TJMAX-H25)/(TJMAX-25)</f>
        <v>0.8</v>
      </c>
      <c r="I27" s="23"/>
      <c r="J27" s="23"/>
      <c r="K27" s="261"/>
      <c r="L27" s="255"/>
      <c r="M27" s="255"/>
      <c r="N27" s="255"/>
      <c r="O27" s="255"/>
      <c r="P27" s="255"/>
      <c r="Q27" s="255"/>
      <c r="R27" s="255"/>
      <c r="S27" s="255"/>
      <c r="T27" s="255"/>
      <c r="U27" s="255"/>
      <c r="V27" s="255"/>
    </row>
    <row r="28" customFormat="false" ht="12.75" hidden="false" customHeight="false" outlineLevel="0" collapsed="false">
      <c r="A28" s="255"/>
      <c r="B28" s="258"/>
      <c r="C28" s="23"/>
      <c r="D28" s="261"/>
      <c r="E28" s="261"/>
      <c r="F28" s="261"/>
      <c r="G28" s="271" t="s">
        <v>345</v>
      </c>
      <c r="H28" s="23" t="n">
        <f aca="false">IF((H22*H27)&lt;0,0.000000001,H22*H27)</f>
        <v>314.571217166047</v>
      </c>
      <c r="I28" s="23"/>
      <c r="J28" s="23"/>
      <c r="K28" s="261"/>
      <c r="L28" s="255"/>
      <c r="M28" s="255"/>
      <c r="N28" s="255"/>
      <c r="O28" s="255"/>
      <c r="P28" s="255"/>
      <c r="Q28" s="255"/>
      <c r="R28" s="255"/>
      <c r="S28" s="255"/>
      <c r="T28" s="255"/>
      <c r="U28" s="255"/>
      <c r="V28" s="255"/>
    </row>
    <row r="29" customFormat="false" ht="12.75" hidden="false" customHeight="false" outlineLevel="0" collapsed="false">
      <c r="A29" s="255"/>
      <c r="B29" s="268" t="s">
        <v>346</v>
      </c>
      <c r="C29" s="23"/>
      <c r="D29" s="261"/>
      <c r="E29" s="261"/>
      <c r="F29" s="261"/>
      <c r="G29" s="23"/>
      <c r="H29" s="255"/>
      <c r="I29" s="263"/>
      <c r="J29" s="263"/>
      <c r="K29" s="263"/>
      <c r="L29" s="255"/>
      <c r="M29" s="255"/>
      <c r="N29" s="255"/>
      <c r="O29" s="255"/>
      <c r="P29" s="255"/>
      <c r="Q29" s="255"/>
      <c r="R29" s="255"/>
      <c r="S29" s="255"/>
      <c r="T29" s="255"/>
      <c r="U29" s="255"/>
      <c r="V29" s="255"/>
    </row>
    <row r="30" customFormat="false" ht="12.75" hidden="false" customHeight="false" outlineLevel="0" collapsed="false">
      <c r="A30" s="255"/>
      <c r="B30" s="23"/>
      <c r="C30" s="237" t="s">
        <v>347</v>
      </c>
      <c r="D30" s="273" t="s">
        <v>348</v>
      </c>
      <c r="E30" s="273" t="s">
        <v>349</v>
      </c>
      <c r="F30" s="273" t="s">
        <v>350</v>
      </c>
      <c r="G30" s="261"/>
      <c r="H30" s="255"/>
      <c r="I30" s="263"/>
      <c r="J30" s="263"/>
      <c r="K30" s="263"/>
      <c r="L30" s="255"/>
      <c r="M30" s="255"/>
      <c r="N30" s="255"/>
      <c r="O30" s="255"/>
      <c r="P30" s="255"/>
      <c r="Q30" s="255"/>
      <c r="R30" s="255"/>
      <c r="S30" s="255"/>
      <c r="T30" s="255"/>
      <c r="U30" s="255"/>
      <c r="V30" s="255"/>
    </row>
    <row r="31" customFormat="false" ht="12.75" hidden="false" customHeight="false" outlineLevel="0" collapsed="false">
      <c r="A31" s="23"/>
      <c r="B31" s="268" t="s">
        <v>351</v>
      </c>
      <c r="C31" s="274" t="n">
        <v>0.1</v>
      </c>
      <c r="D31" s="275" t="n">
        <v>1</v>
      </c>
      <c r="E31" s="261" t="n">
        <v>10</v>
      </c>
      <c r="F31" s="258" t="n">
        <v>100</v>
      </c>
      <c r="G31" s="266"/>
      <c r="H31" s="255"/>
      <c r="I31" s="255"/>
      <c r="J31" s="255"/>
      <c r="K31" s="255"/>
      <c r="L31" s="255"/>
      <c r="M31" s="255"/>
      <c r="N31" s="255"/>
      <c r="O31" s="255"/>
      <c r="P31" s="255"/>
      <c r="Q31" s="255"/>
      <c r="R31" s="255"/>
      <c r="S31" s="255"/>
      <c r="T31" s="255"/>
      <c r="U31" s="255"/>
      <c r="V31" s="255"/>
    </row>
    <row r="32" customFormat="false" ht="12.75" hidden="false" customHeight="false" outlineLevel="0" collapsed="false">
      <c r="A32" s="23"/>
      <c r="B32" s="274" t="s">
        <v>352</v>
      </c>
      <c r="C32" s="275" t="n">
        <v>1</v>
      </c>
      <c r="D32" s="275" t="n">
        <v>10</v>
      </c>
      <c r="E32" s="261" t="n">
        <v>100</v>
      </c>
      <c r="F32" s="258" t="n">
        <v>1000</v>
      </c>
      <c r="G32" s="271"/>
      <c r="H32" s="255"/>
      <c r="I32" s="255"/>
      <c r="J32" s="255"/>
      <c r="K32" s="255"/>
      <c r="L32" s="255"/>
      <c r="M32" s="255"/>
      <c r="N32" s="255"/>
      <c r="O32" s="255"/>
      <c r="P32" s="255"/>
      <c r="Q32" s="255"/>
      <c r="R32" s="255"/>
      <c r="S32" s="255"/>
      <c r="T32" s="255"/>
      <c r="U32" s="255"/>
      <c r="V32" s="255"/>
    </row>
    <row r="33" customFormat="false" ht="12.75" hidden="false" customHeight="false" outlineLevel="0" collapsed="false">
      <c r="B33" s="274" t="s">
        <v>337</v>
      </c>
      <c r="C33" s="275" t="n">
        <f aca="false">B4/(C31^C34)</f>
        <v>30</v>
      </c>
      <c r="D33" s="275" t="n">
        <f aca="false">C4/(D31^D34)</f>
        <v>30</v>
      </c>
      <c r="E33" s="275" t="n">
        <f aca="false">IF('Design Calculator'!F59="NA",D33,D4/(E31^E34))</f>
        <v>28.8</v>
      </c>
      <c r="F33" s="275" t="n">
        <f aca="false">IF('Design Calculator'!F59="NA", E33, E4/(F31^F34))</f>
        <v>31.25</v>
      </c>
      <c r="G33" s="259"/>
      <c r="H33" s="255"/>
      <c r="I33" s="255"/>
      <c r="J33" s="255"/>
      <c r="K33" s="255"/>
      <c r="L33" s="255"/>
      <c r="M33" s="255"/>
      <c r="N33" s="255"/>
      <c r="O33" s="255"/>
      <c r="P33" s="255"/>
      <c r="Q33" s="255"/>
      <c r="R33" s="255"/>
      <c r="S33" s="255"/>
      <c r="T33" s="255"/>
      <c r="U33" s="255"/>
      <c r="V33" s="255"/>
    </row>
    <row r="34" customFormat="false" ht="12.75" hidden="false" customHeight="false" outlineLevel="0" collapsed="false">
      <c r="B34" s="274" t="s">
        <v>338</v>
      </c>
      <c r="C34" s="245" t="n">
        <f aca="false">LOG(B4/C4)/LOG(C31/C32)</f>
        <v>-0.602059991327962</v>
      </c>
      <c r="D34" s="245" t="n">
        <f aca="false">LOG(C4/D4)/LOG(D31/D32)</f>
        <v>-0.397940008672038</v>
      </c>
      <c r="E34" s="245" t="n">
        <f aca="false">IF('Design Calculator'!F59="NA", D34, LOG(D4/E4)/LOG(E31/E32))</f>
        <v>-0.380211241711606</v>
      </c>
      <c r="F34" s="245" t="n">
        <f aca="false">IF('Design Calculator'!F59="NA",E34,LOG(E4/F4)/LOG(F31/F32))</f>
        <v>-0.397940008672038</v>
      </c>
      <c r="G34" s="259"/>
      <c r="H34" s="255"/>
      <c r="I34" s="255"/>
      <c r="J34" s="255"/>
      <c r="K34" s="255"/>
      <c r="L34" s="255"/>
      <c r="M34" s="255"/>
      <c r="N34" s="255"/>
      <c r="O34" s="255"/>
      <c r="P34" s="255"/>
      <c r="Q34" s="255"/>
      <c r="R34" s="255"/>
      <c r="S34" s="255"/>
      <c r="T34" s="255"/>
      <c r="U34" s="255"/>
      <c r="V34" s="255"/>
    </row>
    <row r="35" customFormat="false" ht="12.75" hidden="false" customHeight="false" outlineLevel="0" collapsed="false">
      <c r="B35" s="23"/>
      <c r="C35" s="23"/>
      <c r="D35" s="23"/>
      <c r="E35" s="261"/>
      <c r="F35" s="255"/>
      <c r="G35" s="259"/>
      <c r="H35" s="255"/>
      <c r="I35" s="255"/>
      <c r="J35" s="255"/>
      <c r="K35" s="255"/>
      <c r="L35" s="255"/>
      <c r="M35" s="255"/>
      <c r="N35" s="255"/>
      <c r="O35" s="255"/>
      <c r="P35" s="255"/>
      <c r="Q35" s="255"/>
      <c r="R35" s="255"/>
      <c r="S35" s="255"/>
      <c r="T35" s="255"/>
      <c r="U35" s="255"/>
      <c r="V35" s="255"/>
    </row>
    <row r="36" customFormat="false" ht="13.5" hidden="false" customHeight="false" outlineLevel="0" collapsed="false">
      <c r="B36" s="276" t="s">
        <v>353</v>
      </c>
      <c r="D36" s="23"/>
      <c r="E36" s="261"/>
      <c r="F36" s="255"/>
      <c r="G36" s="259"/>
      <c r="H36" s="255"/>
      <c r="I36" s="255"/>
      <c r="J36" s="255"/>
      <c r="K36" s="255"/>
      <c r="L36" s="255"/>
      <c r="M36" s="255"/>
      <c r="N36" s="255"/>
      <c r="O36" s="255"/>
      <c r="P36" s="255"/>
      <c r="Q36" s="255"/>
      <c r="R36" s="255"/>
      <c r="S36" s="255"/>
      <c r="T36" s="255"/>
      <c r="U36" s="255"/>
      <c r="V36" s="255"/>
    </row>
    <row r="37" customFormat="false" ht="14.65" hidden="false" customHeight="false" outlineLevel="0" collapsed="false">
      <c r="B37" s="277" t="s">
        <v>354</v>
      </c>
      <c r="C37" s="278" t="s">
        <v>355</v>
      </c>
      <c r="D37" s="23"/>
      <c r="E37" s="261"/>
      <c r="F37" s="255"/>
      <c r="G37" s="259"/>
      <c r="H37" s="255"/>
      <c r="I37" s="255"/>
      <c r="J37" s="255"/>
      <c r="K37" s="255"/>
      <c r="L37" s="255"/>
      <c r="M37" s="255"/>
      <c r="N37" s="255"/>
      <c r="O37" s="255"/>
      <c r="P37" s="255"/>
      <c r="Q37" s="255"/>
      <c r="R37" s="255"/>
      <c r="S37" s="255"/>
      <c r="T37" s="255"/>
      <c r="U37" s="255"/>
      <c r="V37" s="255"/>
    </row>
    <row r="38" customFormat="false" ht="13.15" hidden="false" customHeight="false" outlineLevel="0" collapsed="false">
      <c r="B38" s="279" t="s">
        <v>356</v>
      </c>
      <c r="C38" s="280" t="s">
        <v>357</v>
      </c>
      <c r="D38" s="23"/>
      <c r="E38" s="261"/>
      <c r="F38" s="255"/>
      <c r="G38" s="259"/>
      <c r="H38" s="255"/>
      <c r="I38" s="255"/>
      <c r="J38" s="255"/>
      <c r="K38" s="255"/>
      <c r="L38" s="255"/>
      <c r="M38" s="255"/>
      <c r="N38" s="255"/>
      <c r="O38" s="255"/>
      <c r="P38" s="255"/>
      <c r="Q38" s="255"/>
      <c r="R38" s="255"/>
      <c r="S38" s="255"/>
      <c r="T38" s="255"/>
      <c r="U38" s="255"/>
      <c r="V38" s="255"/>
    </row>
    <row r="39" customFormat="false" ht="12.75" hidden="false" customHeight="false" outlineLevel="0" collapsed="false">
      <c r="B39" s="281" t="n">
        <v>1</v>
      </c>
      <c r="C39" s="282" t="n">
        <f aca="false">SOA!$C$26/B39</f>
        <v>774.15630764126</v>
      </c>
      <c r="D39" s="23"/>
      <c r="E39" s="261"/>
      <c r="F39" s="255"/>
      <c r="G39" s="23"/>
      <c r="H39" s="255"/>
      <c r="I39" s="255"/>
      <c r="J39" s="255"/>
      <c r="K39" s="255"/>
      <c r="L39" s="255"/>
      <c r="M39" s="255"/>
      <c r="N39" s="255"/>
      <c r="O39" s="255"/>
      <c r="P39" s="255"/>
      <c r="Q39" s="255"/>
      <c r="R39" s="255"/>
      <c r="S39" s="255"/>
      <c r="T39" s="255"/>
      <c r="U39" s="255"/>
      <c r="V39" s="255"/>
    </row>
    <row r="40" customFormat="false" ht="12.75" hidden="false" customHeight="false" outlineLevel="0" collapsed="false">
      <c r="B40" s="281" t="n">
        <v>1.2</v>
      </c>
      <c r="C40" s="282" t="n">
        <f aca="false">SOA!$C$26/B40</f>
        <v>645.130256367717</v>
      </c>
      <c r="D40" s="23"/>
      <c r="E40" s="261"/>
      <c r="F40" s="255"/>
      <c r="G40" s="259"/>
      <c r="H40" s="255"/>
      <c r="I40" s="255"/>
      <c r="J40" s="255"/>
      <c r="K40" s="255"/>
      <c r="L40" s="255"/>
      <c r="M40" s="255"/>
      <c r="N40" s="255"/>
      <c r="O40" s="255"/>
      <c r="P40" s="255"/>
      <c r="Q40" s="255"/>
      <c r="R40" s="255"/>
      <c r="S40" s="255"/>
      <c r="T40" s="255"/>
      <c r="U40" s="255"/>
      <c r="V40" s="255"/>
    </row>
    <row r="41" customFormat="false" ht="12.75" hidden="false" customHeight="false" outlineLevel="0" collapsed="false">
      <c r="B41" s="281" t="n">
        <v>30</v>
      </c>
      <c r="C41" s="282" t="n">
        <f aca="false">SOA!$C$26/B41</f>
        <v>25.8052102547087</v>
      </c>
      <c r="D41" s="23"/>
      <c r="E41" s="261"/>
      <c r="F41" s="255"/>
      <c r="G41" s="23"/>
      <c r="H41" s="255"/>
      <c r="I41" s="255"/>
      <c r="J41" s="255"/>
      <c r="K41" s="255"/>
      <c r="L41" s="255"/>
      <c r="M41" s="255"/>
      <c r="N41" s="255"/>
      <c r="O41" s="255"/>
      <c r="P41" s="255"/>
      <c r="Q41" s="255"/>
      <c r="R41" s="255"/>
      <c r="S41" s="255"/>
      <c r="T41" s="255"/>
      <c r="U41" s="255"/>
      <c r="V41" s="255"/>
    </row>
    <row r="42" customFormat="false" ht="12.75" hidden="false" customHeight="false" outlineLevel="0" collapsed="false">
      <c r="B42" s="281"/>
      <c r="C42" s="282"/>
      <c r="D42" s="23"/>
      <c r="E42" s="261"/>
      <c r="F42" s="255"/>
      <c r="G42" s="259"/>
      <c r="H42" s="255"/>
      <c r="I42" s="255"/>
      <c r="J42" s="255"/>
      <c r="K42" s="255"/>
      <c r="L42" s="255"/>
      <c r="M42" s="255"/>
      <c r="N42" s="255"/>
      <c r="O42" s="255"/>
      <c r="P42" s="255"/>
      <c r="Q42" s="255"/>
      <c r="R42" s="255"/>
      <c r="S42" s="255"/>
      <c r="T42" s="255"/>
      <c r="U42" s="255"/>
      <c r="V42" s="255"/>
    </row>
    <row r="43" customFormat="false" ht="13.15" hidden="false" customHeight="false" outlineLevel="0" collapsed="false">
      <c r="B43" s="283"/>
      <c r="C43" s="284"/>
      <c r="D43" s="23"/>
      <c r="E43" s="261"/>
      <c r="F43" s="255"/>
      <c r="G43" s="259"/>
      <c r="H43" s="255"/>
      <c r="I43" s="255"/>
      <c r="J43" s="255"/>
      <c r="K43" s="255"/>
      <c r="L43" s="255"/>
      <c r="M43" s="255"/>
      <c r="N43" s="255"/>
      <c r="O43" s="255"/>
      <c r="P43" s="255"/>
      <c r="Q43" s="255"/>
      <c r="R43" s="255"/>
      <c r="S43" s="255"/>
      <c r="T43" s="255"/>
      <c r="U43" s="255"/>
      <c r="V43" s="255"/>
    </row>
    <row r="44" customFormat="false" ht="12.75" hidden="false" customHeight="false" outlineLevel="0" collapsed="false">
      <c r="B44" s="23"/>
      <c r="C44" s="23"/>
      <c r="D44" s="23"/>
      <c r="E44" s="261"/>
      <c r="F44" s="255"/>
      <c r="G44" s="259"/>
      <c r="H44" s="255"/>
      <c r="I44" s="255"/>
      <c r="J44" s="255"/>
      <c r="K44" s="255"/>
      <c r="L44" s="255"/>
      <c r="M44" s="255"/>
      <c r="N44" s="255"/>
      <c r="O44" s="255"/>
      <c r="P44" s="255"/>
      <c r="Q44" s="255"/>
      <c r="R44" s="255"/>
      <c r="S44" s="255"/>
      <c r="T44" s="255"/>
      <c r="U44" s="255"/>
      <c r="V44" s="255"/>
    </row>
    <row r="45" customFormat="false" ht="12.75" hidden="false" customHeight="false" outlineLevel="0" collapsed="false">
      <c r="B45" s="23"/>
      <c r="C45" s="23"/>
      <c r="D45" s="23"/>
      <c r="E45" s="261"/>
      <c r="F45" s="255"/>
      <c r="G45" s="23"/>
      <c r="H45" s="255"/>
      <c r="I45" s="255"/>
      <c r="J45" s="255"/>
      <c r="K45" s="255"/>
      <c r="L45" s="255"/>
      <c r="M45" s="255"/>
      <c r="N45" s="255"/>
      <c r="O45" s="255"/>
      <c r="P45" s="255"/>
      <c r="Q45" s="255"/>
      <c r="R45" s="255"/>
      <c r="S45" s="255"/>
      <c r="T45" s="255"/>
      <c r="U45" s="255"/>
      <c r="V45" s="255"/>
    </row>
    <row r="46" customFormat="false" ht="12.75" hidden="false" customHeight="false" outlineLevel="0" collapsed="false">
      <c r="B46" s="23"/>
      <c r="C46" s="23"/>
      <c r="D46" s="23"/>
      <c r="E46" s="261"/>
      <c r="F46" s="255"/>
      <c r="G46" s="270"/>
      <c r="H46" s="255"/>
      <c r="I46" s="255"/>
      <c r="J46" s="255"/>
      <c r="K46" s="255"/>
      <c r="L46" s="255"/>
      <c r="M46" s="255"/>
      <c r="N46" s="255"/>
      <c r="O46" s="255"/>
      <c r="P46" s="255"/>
      <c r="Q46" s="255"/>
      <c r="R46" s="255"/>
      <c r="S46" s="255"/>
      <c r="T46" s="255"/>
      <c r="U46" s="255"/>
      <c r="V46" s="255"/>
    </row>
    <row r="47" customFormat="false" ht="12.75" hidden="false" customHeight="false" outlineLevel="0" collapsed="false">
      <c r="B47" s="23"/>
      <c r="C47" s="23"/>
      <c r="D47" s="23"/>
      <c r="E47" s="261"/>
      <c r="F47" s="255"/>
      <c r="G47" s="23"/>
      <c r="H47" s="255"/>
      <c r="I47" s="255"/>
      <c r="J47" s="255"/>
      <c r="K47" s="255"/>
      <c r="L47" s="255"/>
      <c r="M47" s="255"/>
      <c r="N47" s="255"/>
      <c r="O47" s="255"/>
      <c r="P47" s="255"/>
      <c r="Q47" s="255"/>
      <c r="R47" s="255"/>
      <c r="S47" s="255"/>
      <c r="T47" s="255"/>
      <c r="U47" s="255"/>
      <c r="V47" s="255"/>
    </row>
    <row r="48" customFormat="false" ht="12.75" hidden="false" customHeight="false" outlineLevel="0" collapsed="false">
      <c r="B48" s="23"/>
      <c r="C48" s="23"/>
      <c r="D48" s="23"/>
      <c r="E48" s="261"/>
      <c r="F48" s="255"/>
      <c r="G48" s="23"/>
      <c r="H48" s="255"/>
      <c r="I48" s="255"/>
      <c r="J48" s="255"/>
      <c r="K48" s="255"/>
      <c r="L48" s="255"/>
      <c r="M48" s="255"/>
      <c r="N48" s="255"/>
      <c r="O48" s="255"/>
      <c r="P48" s="255"/>
      <c r="Q48" s="255"/>
      <c r="R48" s="255"/>
      <c r="S48" s="255"/>
      <c r="T48" s="255"/>
      <c r="U48" s="255"/>
      <c r="V48" s="255"/>
    </row>
    <row r="49" customFormat="false" ht="12.75" hidden="false" customHeight="false" outlineLevel="0" collapsed="false">
      <c r="A49" s="23"/>
      <c r="B49" s="23"/>
      <c r="C49" s="23"/>
      <c r="D49" s="23"/>
      <c r="E49" s="261"/>
      <c r="F49" s="255"/>
      <c r="G49" s="268"/>
      <c r="H49" s="255"/>
      <c r="I49" s="255"/>
      <c r="J49" s="255"/>
      <c r="K49" s="255"/>
      <c r="L49" s="255"/>
      <c r="M49" s="255"/>
      <c r="N49" s="255"/>
      <c r="O49" s="255"/>
      <c r="P49" s="255"/>
      <c r="Q49" s="255"/>
      <c r="R49" s="255"/>
      <c r="S49" s="255"/>
      <c r="T49" s="255"/>
      <c r="U49" s="255"/>
      <c r="V49" s="255"/>
    </row>
    <row r="50" customFormat="false" ht="12.75" hidden="false" customHeight="false" outlineLevel="0" collapsed="false">
      <c r="A50" s="23"/>
      <c r="B50" s="23"/>
      <c r="C50" s="23"/>
      <c r="D50" s="23"/>
      <c r="E50" s="261"/>
      <c r="F50" s="255"/>
      <c r="G50" s="271"/>
      <c r="H50" s="255"/>
      <c r="I50" s="255"/>
      <c r="J50" s="255"/>
      <c r="K50" s="255"/>
      <c r="L50" s="255"/>
      <c r="M50" s="255"/>
      <c r="N50" s="255"/>
      <c r="O50" s="255"/>
      <c r="P50" s="255"/>
      <c r="Q50" s="255"/>
      <c r="R50" s="255"/>
      <c r="S50" s="255"/>
      <c r="T50" s="255"/>
      <c r="U50" s="255"/>
      <c r="V50" s="255"/>
    </row>
    <row r="51" customFormat="false" ht="12.75" hidden="false" customHeight="false" outlineLevel="0" collapsed="false">
      <c r="A51" s="23"/>
      <c r="B51" s="23"/>
      <c r="C51" s="23"/>
      <c r="D51" s="23"/>
      <c r="E51" s="261"/>
      <c r="F51" s="261"/>
      <c r="G51" s="261"/>
      <c r="H51" s="255"/>
      <c r="I51" s="255"/>
      <c r="J51" s="255"/>
      <c r="K51" s="255"/>
      <c r="L51" s="255"/>
      <c r="M51" s="255"/>
      <c r="N51" s="255"/>
      <c r="O51" s="255"/>
      <c r="P51" s="255"/>
      <c r="Q51" s="255"/>
      <c r="R51" s="255"/>
      <c r="S51" s="255"/>
      <c r="T51" s="255"/>
      <c r="U51" s="255"/>
      <c r="V51" s="255"/>
    </row>
    <row r="52" customFormat="false" ht="12.75" hidden="false" customHeight="false" outlineLevel="0" collapsed="false">
      <c r="A52" s="23"/>
      <c r="B52" s="23"/>
      <c r="C52" s="23"/>
      <c r="D52" s="23"/>
      <c r="E52" s="261"/>
      <c r="F52" s="261"/>
      <c r="G52" s="261"/>
      <c r="H52" s="255"/>
      <c r="I52" s="255"/>
      <c r="J52" s="255"/>
      <c r="K52" s="255"/>
      <c r="L52" s="255"/>
      <c r="M52" s="255"/>
      <c r="N52" s="255"/>
      <c r="O52" s="255"/>
      <c r="P52" s="255"/>
      <c r="Q52" s="255"/>
      <c r="R52" s="255"/>
      <c r="S52" s="255"/>
      <c r="T52" s="255"/>
      <c r="U52" s="255"/>
      <c r="V52" s="255"/>
    </row>
    <row r="53" customFormat="false" ht="12.75" hidden="false" customHeight="false" outlineLevel="0" collapsed="false">
      <c r="A53" s="255"/>
      <c r="B53" s="255"/>
      <c r="C53" s="258"/>
      <c r="D53" s="261"/>
      <c r="E53" s="261"/>
      <c r="F53" s="261"/>
      <c r="G53" s="261"/>
      <c r="H53" s="255"/>
      <c r="I53" s="255"/>
      <c r="J53" s="255"/>
      <c r="K53" s="255"/>
      <c r="L53" s="255"/>
      <c r="M53" s="255"/>
      <c r="N53" s="255"/>
      <c r="O53" s="255"/>
      <c r="P53" s="255"/>
      <c r="Q53" s="255"/>
      <c r="R53" s="255"/>
      <c r="S53" s="255"/>
      <c r="T53" s="255"/>
      <c r="U53" s="255"/>
      <c r="V53" s="255"/>
    </row>
    <row r="54" customFormat="false" ht="12.75" hidden="false" customHeight="false" outlineLevel="0" collapsed="false">
      <c r="A54" s="255"/>
      <c r="B54" s="255"/>
      <c r="C54" s="258"/>
      <c r="D54" s="261"/>
      <c r="E54" s="261"/>
      <c r="F54" s="261"/>
      <c r="G54" s="261"/>
      <c r="H54" s="255"/>
      <c r="I54" s="255"/>
      <c r="J54" s="255"/>
      <c r="K54" s="255"/>
      <c r="L54" s="255"/>
      <c r="M54" s="255"/>
      <c r="N54" s="255"/>
      <c r="O54" s="255"/>
      <c r="P54" s="255"/>
      <c r="Q54" s="255"/>
      <c r="R54" s="255"/>
      <c r="S54" s="255"/>
      <c r="T54" s="255"/>
      <c r="U54" s="255"/>
      <c r="V54" s="255"/>
    </row>
    <row r="55" customFormat="false" ht="12.75" hidden="false" customHeight="false" outlineLevel="0" collapsed="false">
      <c r="A55" s="255"/>
      <c r="B55" s="255"/>
      <c r="C55" s="258"/>
      <c r="D55" s="261"/>
      <c r="E55" s="261"/>
      <c r="F55" s="261"/>
      <c r="G55" s="261"/>
      <c r="H55" s="255"/>
      <c r="I55" s="255"/>
      <c r="J55" s="255"/>
      <c r="K55" s="255"/>
      <c r="L55" s="255"/>
      <c r="M55" s="255"/>
      <c r="N55" s="255"/>
      <c r="O55" s="255"/>
      <c r="P55" s="255"/>
      <c r="Q55" s="255"/>
      <c r="R55" s="255"/>
      <c r="S55" s="255"/>
      <c r="T55" s="255"/>
      <c r="U55" s="255"/>
      <c r="V55" s="255"/>
    </row>
    <row r="56" customFormat="false" ht="12.75" hidden="false" customHeight="false" outlineLevel="0" collapsed="false">
      <c r="A56" s="255"/>
      <c r="B56" s="255"/>
      <c r="C56" s="258"/>
      <c r="D56" s="261"/>
      <c r="E56" s="261"/>
      <c r="F56" s="261"/>
      <c r="G56" s="261"/>
      <c r="H56" s="255"/>
      <c r="I56" s="23"/>
      <c r="J56" s="23"/>
      <c r="K56" s="23"/>
      <c r="L56" s="23"/>
      <c r="M56" s="23"/>
      <c r="N56" s="23"/>
      <c r="O56" s="23"/>
      <c r="P56" s="23"/>
      <c r="Q56" s="23"/>
      <c r="R56" s="23"/>
      <c r="S56" s="23"/>
      <c r="T56" s="23"/>
      <c r="U56" s="23"/>
      <c r="V56" s="23"/>
    </row>
    <row r="57" customFormat="false" ht="12.75" hidden="false" customHeight="false" outlineLevel="0" collapsed="false">
      <c r="A57" s="255"/>
      <c r="B57" s="255"/>
      <c r="C57" s="258"/>
      <c r="D57" s="261"/>
      <c r="E57" s="261"/>
      <c r="F57" s="261"/>
      <c r="G57" s="261"/>
      <c r="H57" s="23"/>
      <c r="I57" s="23"/>
      <c r="J57" s="23"/>
      <c r="K57" s="23"/>
      <c r="L57" s="23"/>
      <c r="M57" s="23"/>
      <c r="N57" s="23"/>
      <c r="O57" s="23"/>
      <c r="P57" s="23"/>
      <c r="Q57" s="23"/>
      <c r="R57" s="23"/>
      <c r="S57" s="23"/>
      <c r="T57" s="23"/>
      <c r="U57" s="23"/>
      <c r="V57" s="23"/>
    </row>
    <row r="58" customFormat="false" ht="12.75" hidden="false" customHeight="false" outlineLevel="0" collapsed="false">
      <c r="A58" s="255"/>
      <c r="B58" s="255"/>
      <c r="C58" s="258"/>
      <c r="D58" s="261"/>
      <c r="E58" s="261"/>
      <c r="F58" s="261"/>
      <c r="G58" s="261"/>
      <c r="H58" s="23"/>
      <c r="I58" s="23"/>
      <c r="J58" s="23"/>
      <c r="K58" s="23"/>
      <c r="L58" s="23"/>
      <c r="M58" s="23"/>
      <c r="N58" s="23"/>
      <c r="O58" s="23"/>
      <c r="P58" s="23"/>
      <c r="Q58" s="23"/>
      <c r="R58" s="23"/>
      <c r="S58" s="23"/>
      <c r="T58" s="23"/>
      <c r="U58" s="23"/>
      <c r="V58" s="23"/>
    </row>
    <row r="59" customFormat="false" ht="12.75" hidden="false" customHeight="false" outlineLevel="0" collapsed="false">
      <c r="A59" s="255"/>
      <c r="B59" s="255"/>
      <c r="C59" s="258"/>
      <c r="D59" s="261"/>
      <c r="E59" s="261"/>
      <c r="F59" s="261"/>
      <c r="G59" s="261"/>
      <c r="H59" s="23"/>
      <c r="I59" s="23"/>
      <c r="J59" s="23"/>
      <c r="K59" s="23"/>
      <c r="L59" s="23"/>
      <c r="M59" s="23"/>
      <c r="N59" s="23"/>
      <c r="O59" s="23"/>
      <c r="P59" s="23"/>
      <c r="Q59" s="23"/>
      <c r="R59" s="23"/>
      <c r="S59" s="23"/>
      <c r="T59" s="23"/>
      <c r="U59" s="23"/>
      <c r="V59" s="23"/>
    </row>
    <row r="60" customFormat="false" ht="12.75" hidden="false" customHeight="false" outlineLevel="0" collapsed="false">
      <c r="A60" s="255"/>
      <c r="B60" s="255"/>
      <c r="C60" s="258"/>
      <c r="D60" s="261"/>
      <c r="E60" s="261"/>
      <c r="F60" s="261"/>
      <c r="G60" s="261"/>
      <c r="H60" s="23"/>
      <c r="I60" s="23"/>
      <c r="J60" s="23"/>
      <c r="K60" s="23"/>
      <c r="L60" s="23"/>
      <c r="M60" s="23"/>
      <c r="N60" s="23"/>
      <c r="O60" s="23"/>
      <c r="P60" s="23"/>
      <c r="Q60" s="23"/>
      <c r="R60" s="23"/>
      <c r="S60" s="23"/>
      <c r="T60" s="23"/>
      <c r="U60" s="23"/>
      <c r="V60" s="23"/>
    </row>
    <row r="61" customFormat="false" ht="12.75" hidden="false" customHeight="false" outlineLevel="0" collapsed="false">
      <c r="A61" s="255"/>
      <c r="B61" s="255"/>
      <c r="C61" s="258"/>
      <c r="D61" s="261"/>
      <c r="E61" s="261"/>
      <c r="F61" s="261"/>
      <c r="G61" s="261"/>
      <c r="H61" s="23"/>
      <c r="I61" s="23"/>
      <c r="J61" s="23"/>
      <c r="K61" s="23"/>
      <c r="L61" s="23"/>
      <c r="M61" s="23"/>
      <c r="N61" s="23"/>
      <c r="O61" s="23"/>
      <c r="P61" s="23"/>
      <c r="Q61" s="23"/>
      <c r="R61" s="23"/>
      <c r="S61" s="23"/>
      <c r="T61" s="23"/>
      <c r="U61" s="23"/>
      <c r="V61" s="23"/>
    </row>
    <row r="62" customFormat="false" ht="12.75" hidden="false" customHeight="false" outlineLevel="0" collapsed="false">
      <c r="A62" s="255"/>
      <c r="B62" s="255"/>
      <c r="C62" s="258"/>
      <c r="D62" s="261"/>
      <c r="E62" s="261"/>
      <c r="F62" s="261"/>
      <c r="G62" s="261"/>
      <c r="H62" s="23"/>
      <c r="I62" s="23"/>
      <c r="J62" s="23"/>
      <c r="K62" s="23"/>
      <c r="L62" s="23"/>
      <c r="M62" s="23"/>
      <c r="N62" s="23"/>
      <c r="O62" s="23"/>
      <c r="P62" s="23"/>
      <c r="Q62" s="23"/>
      <c r="R62" s="23"/>
      <c r="S62" s="23"/>
      <c r="T62" s="23"/>
      <c r="U62" s="23"/>
      <c r="V62" s="23"/>
    </row>
    <row r="63" customFormat="false" ht="12.75" hidden="false" customHeight="false" outlineLevel="0" collapsed="false">
      <c r="A63" s="255"/>
      <c r="B63" s="255"/>
      <c r="C63" s="258"/>
      <c r="D63" s="261"/>
      <c r="E63" s="261"/>
      <c r="F63" s="261"/>
      <c r="G63" s="261"/>
      <c r="H63" s="23"/>
      <c r="I63" s="23"/>
      <c r="J63" s="23"/>
      <c r="K63" s="23"/>
      <c r="L63" s="23"/>
      <c r="M63" s="23"/>
      <c r="N63" s="23"/>
      <c r="O63" s="23"/>
      <c r="P63" s="23"/>
      <c r="Q63" s="23"/>
      <c r="R63" s="23"/>
      <c r="S63" s="23"/>
      <c r="T63" s="23"/>
      <c r="U63" s="23"/>
      <c r="V63" s="23"/>
    </row>
    <row r="64" customFormat="false" ht="12.75" hidden="false" customHeight="false" outlineLevel="0" collapsed="false">
      <c r="A64" s="255"/>
      <c r="B64" s="255"/>
      <c r="C64" s="258"/>
      <c r="D64" s="261"/>
      <c r="E64" s="261"/>
      <c r="F64" s="261"/>
      <c r="G64" s="261"/>
      <c r="H64" s="23"/>
      <c r="I64" s="23"/>
      <c r="J64" s="23"/>
      <c r="K64" s="23"/>
      <c r="L64" s="23"/>
      <c r="M64" s="23"/>
      <c r="N64" s="23"/>
      <c r="O64" s="23"/>
      <c r="P64" s="23"/>
      <c r="Q64" s="23"/>
      <c r="R64" s="23"/>
      <c r="S64" s="23"/>
      <c r="T64" s="23"/>
      <c r="U64" s="23"/>
      <c r="V64" s="23"/>
    </row>
    <row r="65" customFormat="false" ht="12.75" hidden="false" customHeight="false" outlineLevel="0" collapsed="false">
      <c r="A65" s="255"/>
      <c r="B65" s="255"/>
      <c r="C65" s="258"/>
      <c r="D65" s="261"/>
      <c r="E65" s="261"/>
      <c r="F65" s="261"/>
      <c r="G65" s="261"/>
    </row>
    <row r="66" customFormat="false" ht="12.75" hidden="false" customHeight="false" outlineLevel="0" collapsed="false">
      <c r="A66" s="255"/>
      <c r="B66" s="255"/>
      <c r="C66" s="258"/>
      <c r="D66" s="261"/>
      <c r="E66" s="261"/>
      <c r="F66" s="261"/>
      <c r="G66" s="261"/>
    </row>
    <row r="67" customFormat="false" ht="12.75" hidden="false" customHeight="false" outlineLevel="0" collapsed="false">
      <c r="A67" s="255"/>
      <c r="B67" s="255"/>
      <c r="C67" s="258"/>
      <c r="D67" s="261"/>
      <c r="E67" s="261"/>
      <c r="F67" s="261"/>
      <c r="G67" s="261"/>
    </row>
    <row r="68" customFormat="false" ht="12.75" hidden="false" customHeight="false" outlineLevel="0" collapsed="false">
      <c r="A68" s="255"/>
      <c r="B68" s="255"/>
      <c r="C68" s="258"/>
      <c r="D68" s="261"/>
      <c r="E68" s="261"/>
      <c r="F68" s="261"/>
      <c r="G68" s="261"/>
    </row>
    <row r="69" customFormat="false" ht="12.75" hidden="false" customHeight="false" outlineLevel="0" collapsed="false">
      <c r="A69" s="255"/>
      <c r="B69" s="255"/>
      <c r="C69" s="258"/>
      <c r="D69" s="261"/>
      <c r="E69" s="261"/>
      <c r="F69" s="261"/>
      <c r="G69" s="261"/>
    </row>
    <row r="70" customFormat="false" ht="12.75" hidden="false" customHeight="false" outlineLevel="0" collapsed="false">
      <c r="A70" s="255"/>
      <c r="B70" s="255"/>
      <c r="C70" s="23"/>
      <c r="D70" s="23"/>
      <c r="E70" s="23"/>
      <c r="F70" s="23"/>
      <c r="G70" s="23"/>
    </row>
  </sheetData>
  <mergeCells count="3">
    <mergeCell ref="C2:E2"/>
    <mergeCell ref="N5:P5"/>
    <mergeCell ref="R5:T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5:Y61"/>
  <sheetViews>
    <sheetView showFormulas="false" showGridLines="true" showRowColHeaders="true" showZeros="true" rightToLeft="false" tabSelected="false" showOutlineSymbols="true" defaultGridColor="true" view="normal" topLeftCell="A21" colorId="64" zoomScale="85" zoomScaleNormal="85" zoomScalePageLayoutView="100" workbookViewId="0">
      <selection pane="topLeft" activeCell="M21" activeCellId="0" sqref="M21"/>
    </sheetView>
  </sheetViews>
  <sheetFormatPr defaultColWidth="8.70703125" defaultRowHeight="12.75" zeroHeight="false" outlineLevelRow="0" outlineLevelCol="0"/>
  <cols>
    <col collapsed="false" customWidth="true" hidden="false" outlineLevel="0" max="4" min="4" style="0" width="37.4"/>
    <col collapsed="false" customWidth="true" hidden="false" outlineLevel="0" max="5" min="5" style="0" width="15.73"/>
    <col collapsed="false" customWidth="true" hidden="false" outlineLevel="0" max="9" min="9" style="0" width="13.29"/>
    <col collapsed="false" customWidth="true" hidden="false" outlineLevel="0" max="10" min="10" style="0" width="11.72"/>
    <col collapsed="false" customWidth="true" hidden="false" outlineLevel="0" max="11" min="11" style="0" width="11.4"/>
    <col collapsed="false" customWidth="true" hidden="false" outlineLevel="0" max="12" min="12" style="0" width="15"/>
    <col collapsed="false" customWidth="true" hidden="false" outlineLevel="0" max="13" min="13" style="0" width="13.73"/>
  </cols>
  <sheetData>
    <row r="5" customFormat="false" ht="12.75" hidden="false" customHeight="false" outlineLevel="0" collapsed="false">
      <c r="C5" s="259" t="s">
        <v>358</v>
      </c>
      <c r="D5" s="23"/>
    </row>
    <row r="7" customFormat="false" ht="12.75" hidden="false" customHeight="false" outlineLevel="0" collapsed="false">
      <c r="C7" s="259" t="s">
        <v>359</v>
      </c>
      <c r="D7" s="23"/>
    </row>
    <row r="8" customFormat="false" ht="12.75" hidden="false" customHeight="false" outlineLevel="0" collapsed="false">
      <c r="C8" s="259" t="s">
        <v>360</v>
      </c>
      <c r="D8" s="23"/>
    </row>
    <row r="10" customFormat="false" ht="12.75" hidden="false" customHeight="false" outlineLevel="0" collapsed="false">
      <c r="C10" s="259" t="s">
        <v>361</v>
      </c>
      <c r="D10" s="23"/>
    </row>
    <row r="11" customFormat="false" ht="12.75" hidden="false" customHeight="false" outlineLevel="0" collapsed="false">
      <c r="C11" s="259" t="s">
        <v>362</v>
      </c>
      <c r="D11" s="23"/>
    </row>
    <row r="12" customFormat="false" ht="12.75" hidden="false" customHeight="false" outlineLevel="0" collapsed="false">
      <c r="C12" s="259" t="s">
        <v>363</v>
      </c>
      <c r="D12" s="23"/>
    </row>
    <row r="13" customFormat="false" ht="12.75" hidden="false" customHeight="false" outlineLevel="0" collapsed="false">
      <c r="C13" s="259" t="s">
        <v>364</v>
      </c>
      <c r="D13" s="23"/>
    </row>
    <row r="14" customFormat="false" ht="12.75" hidden="false" customHeight="false" outlineLevel="0" collapsed="false">
      <c r="C14" s="259" t="s">
        <v>365</v>
      </c>
      <c r="D14" s="259" t="s">
        <v>366</v>
      </c>
    </row>
    <row r="15" customFormat="false" ht="12" hidden="false" customHeight="true" outlineLevel="0" collapsed="false">
      <c r="C15" s="259"/>
      <c r="D15" s="259" t="s">
        <v>367</v>
      </c>
    </row>
    <row r="16" customFormat="false" ht="12" hidden="false" customHeight="true" outlineLevel="0" collapsed="false">
      <c r="C16" s="259"/>
      <c r="D16" s="259"/>
    </row>
    <row r="17" customFormat="false" ht="12" hidden="false" customHeight="true" outlineLevel="0" collapsed="false">
      <c r="C17" s="259"/>
      <c r="D17" s="259"/>
      <c r="E17" s="23"/>
      <c r="F17" s="23"/>
      <c r="G17" s="23"/>
      <c r="H17" s="23"/>
      <c r="I17" s="23"/>
      <c r="J17" s="23"/>
      <c r="K17" s="23"/>
      <c r="L17" s="23"/>
      <c r="M17" s="23"/>
    </row>
    <row r="18" customFormat="false" ht="12" hidden="false" customHeight="true" outlineLevel="0" collapsed="false">
      <c r="C18" s="259"/>
      <c r="D18" s="237" t="s">
        <v>368</v>
      </c>
      <c r="E18" s="23"/>
      <c r="F18" s="23"/>
      <c r="G18" s="23"/>
      <c r="H18" s="23"/>
      <c r="I18" s="23"/>
      <c r="J18" s="23"/>
      <c r="K18" s="23"/>
      <c r="L18" s="23"/>
      <c r="M18" s="23"/>
    </row>
    <row r="19" customFormat="false" ht="12.75" hidden="false" customHeight="false" outlineLevel="0" collapsed="false">
      <c r="C19" s="259"/>
      <c r="D19" s="259" t="s">
        <v>369</v>
      </c>
      <c r="E19" s="23" t="n">
        <f aca="false">SOA!H25</f>
        <v>55</v>
      </c>
      <c r="F19" s="23"/>
      <c r="G19" s="23"/>
      <c r="H19" s="23"/>
      <c r="I19" s="23"/>
      <c r="J19" s="23"/>
      <c r="K19" s="23"/>
      <c r="L19" s="23"/>
      <c r="M19" s="23"/>
    </row>
    <row r="20" customFormat="false" ht="12.75" hidden="false" customHeight="false" outlineLevel="0" collapsed="false">
      <c r="C20" s="23"/>
      <c r="D20" s="259" t="s">
        <v>370</v>
      </c>
      <c r="E20" s="23" t="n">
        <v>1.3</v>
      </c>
      <c r="F20" s="23"/>
      <c r="G20" s="23"/>
      <c r="H20" s="23"/>
      <c r="I20" s="268" t="s">
        <v>346</v>
      </c>
      <c r="J20" s="23"/>
      <c r="K20" s="261"/>
      <c r="L20" s="261"/>
      <c r="M20" s="261"/>
    </row>
    <row r="21" customFormat="false" ht="12.75" hidden="false" customHeight="false" outlineLevel="0" collapsed="false">
      <c r="C21" s="23"/>
      <c r="D21" s="259" t="s">
        <v>371</v>
      </c>
      <c r="E21" s="23" t="n">
        <f aca="false">1/2*COUTMAX*VINMAX^2*0.000001</f>
        <v>5</v>
      </c>
      <c r="F21" s="23"/>
      <c r="G21" s="23"/>
      <c r="H21" s="23"/>
      <c r="I21" s="23"/>
      <c r="J21" s="237" t="s">
        <v>347</v>
      </c>
      <c r="K21" s="273" t="s">
        <v>348</v>
      </c>
      <c r="L21" s="273" t="s">
        <v>349</v>
      </c>
      <c r="M21" s="273" t="s">
        <v>350</v>
      </c>
    </row>
    <row r="22" customFormat="false" ht="12.75" hidden="false" customHeight="false" outlineLevel="0" collapsed="false">
      <c r="C22" s="23"/>
      <c r="D22" s="259" t="s">
        <v>372</v>
      </c>
      <c r="E22" s="23" t="n">
        <f aca="false">MAX(Equations!F68-E21,0)</f>
        <v>0.407725087412587</v>
      </c>
      <c r="F22" s="23"/>
      <c r="G22" s="23"/>
      <c r="H22" s="23"/>
      <c r="I22" s="268" t="s">
        <v>351</v>
      </c>
      <c r="J22" s="274" t="n">
        <v>0.1</v>
      </c>
      <c r="K22" s="275" t="n">
        <v>1</v>
      </c>
      <c r="L22" s="261" t="n">
        <v>10</v>
      </c>
      <c r="M22" s="258" t="n">
        <v>100</v>
      </c>
    </row>
    <row r="23" customFormat="false" ht="12.75" hidden="false" customHeight="false" outlineLevel="0" collapsed="false">
      <c r="C23" s="23"/>
      <c r="D23" s="259" t="s">
        <v>373</v>
      </c>
      <c r="E23" s="23" t="n">
        <f aca="false">Equations!F67</f>
        <v>61.3636363636364</v>
      </c>
      <c r="F23" s="23"/>
      <c r="G23" s="23"/>
      <c r="H23" s="23"/>
      <c r="I23" s="274" t="s">
        <v>352</v>
      </c>
      <c r="J23" s="275" t="n">
        <v>1</v>
      </c>
      <c r="K23" s="275" t="n">
        <v>10</v>
      </c>
      <c r="L23" s="261" t="n">
        <v>100</v>
      </c>
      <c r="M23" s="258" t="n">
        <v>1000</v>
      </c>
    </row>
    <row r="24" customFormat="false" ht="12.75" hidden="false" customHeight="false" outlineLevel="0" collapsed="false">
      <c r="C24" s="23"/>
      <c r="D24" s="23"/>
      <c r="E24" s="23"/>
      <c r="F24" s="23"/>
      <c r="G24" s="23"/>
      <c r="H24" s="23"/>
      <c r="I24" s="274" t="s">
        <v>337</v>
      </c>
      <c r="J24" s="275" t="n">
        <f aca="false">SOA!C33</f>
        <v>30</v>
      </c>
      <c r="K24" s="275" t="n">
        <f aca="false">SOA!D33</f>
        <v>30</v>
      </c>
      <c r="L24" s="275" t="n">
        <f aca="false">SOA!E33</f>
        <v>28.8</v>
      </c>
      <c r="M24" s="275" t="n">
        <f aca="false">SOA!F33</f>
        <v>31.25</v>
      </c>
    </row>
    <row r="25" customFormat="false" ht="12.75" hidden="false" customHeight="false" outlineLevel="0" collapsed="false">
      <c r="C25" s="23"/>
      <c r="D25" s="23" t="s">
        <v>94</v>
      </c>
      <c r="E25" s="23" t="n">
        <f aca="false">'Design Calculator'!F68</f>
        <v>0</v>
      </c>
      <c r="F25" s="23"/>
      <c r="G25" s="23"/>
      <c r="H25" s="23"/>
      <c r="I25" s="274" t="s">
        <v>338</v>
      </c>
      <c r="J25" s="245" t="n">
        <f aca="false">SOA!C34</f>
        <v>-0.602059991327962</v>
      </c>
      <c r="K25" s="245" t="n">
        <f aca="false">SOA!D34</f>
        <v>-0.397940008672038</v>
      </c>
      <c r="L25" s="245" t="n">
        <f aca="false">SOA!E34</f>
        <v>-0.380211241711606</v>
      </c>
      <c r="M25" s="245" t="n">
        <f aca="false">SOA!F34</f>
        <v>-0.397940008672038</v>
      </c>
    </row>
    <row r="26" customFormat="false" ht="12.75" hidden="false" customHeight="false" outlineLevel="0" collapsed="false">
      <c r="C26" s="23"/>
      <c r="D26" s="23" t="s">
        <v>95</v>
      </c>
      <c r="E26" s="23" t="str">
        <f aca="false">'Design Calculator'!F69</f>
        <v>Constant Current</v>
      </c>
      <c r="F26" s="23"/>
      <c r="G26" s="23"/>
      <c r="H26" s="23"/>
      <c r="I26" s="23"/>
      <c r="J26" s="23"/>
      <c r="K26" s="23"/>
      <c r="L26" s="23"/>
      <c r="M26" s="23"/>
    </row>
    <row r="27" customFormat="false" ht="12.75" hidden="false" customHeight="false" outlineLevel="0" collapsed="false">
      <c r="C27" s="23"/>
      <c r="D27" s="23" t="s">
        <v>97</v>
      </c>
      <c r="E27" s="23" t="n">
        <f aca="false">'Design Calculator'!F70</f>
        <v>0.3</v>
      </c>
      <c r="F27" s="23"/>
      <c r="G27" s="23"/>
      <c r="H27" s="23"/>
      <c r="I27" s="23"/>
      <c r="J27" s="23"/>
      <c r="K27" s="23"/>
      <c r="L27" s="23"/>
      <c r="M27" s="23"/>
    </row>
    <row r="28" customFormat="false" ht="12.75" hidden="false" customHeight="false" outlineLevel="0" collapsed="false">
      <c r="C28" s="23"/>
      <c r="F28" s="23"/>
      <c r="I28" s="23"/>
      <c r="J28" s="23"/>
      <c r="K28" s="285" t="s">
        <v>374</v>
      </c>
      <c r="L28" s="237" t="s">
        <v>314</v>
      </c>
      <c r="M28" s="23"/>
    </row>
    <row r="29" customFormat="false" ht="12.75" hidden="false" customHeight="false" outlineLevel="0" collapsed="false">
      <c r="C29" s="23"/>
      <c r="D29" s="23" t="s">
        <v>375</v>
      </c>
      <c r="E29" s="23" t="n">
        <f aca="false">'Design Calculator'!F67/VINMAX/3</f>
        <v>3.37050805452292</v>
      </c>
      <c r="F29" s="23"/>
      <c r="I29" s="23" t="s">
        <v>376</v>
      </c>
      <c r="J29" s="23"/>
      <c r="K29" s="238" t="n">
        <f aca="false">SUM(E60:X60)</f>
        <v>0.842627013630731</v>
      </c>
      <c r="L29" s="238" t="n">
        <f aca="false">IF(K29=0, "NA", K29/AVERAGE(1, E33))</f>
        <v>0.889839006663783</v>
      </c>
      <c r="M29" s="23"/>
    </row>
    <row r="30" customFormat="false" ht="12.75" hidden="false" customHeight="false" outlineLevel="0" collapsed="false">
      <c r="C30" s="23"/>
      <c r="D30" s="259" t="s">
        <v>377</v>
      </c>
      <c r="E30" s="23" t="n">
        <f aca="false">dv_dt_recommendations!E29/(0.001*COUTMAX)</f>
        <v>0.842627013630731</v>
      </c>
      <c r="F30" s="23"/>
      <c r="I30" s="23" t="s">
        <v>378</v>
      </c>
      <c r="J30" s="23"/>
      <c r="K30" s="238" t="n">
        <f aca="false">SUM(E61:X61)</f>
        <v>0.1</v>
      </c>
      <c r="L30" s="238" t="n">
        <f aca="false">IF(K30=0, "NA", K30*AVERAGE(1,E33))</f>
        <v>0.0946943219302039</v>
      </c>
      <c r="M30" s="23"/>
    </row>
    <row r="31" customFormat="false" ht="12.75" hidden="false" customHeight="false" outlineLevel="0" collapsed="false">
      <c r="C31" s="23"/>
      <c r="D31" s="259" t="s">
        <v>379</v>
      </c>
      <c r="E31" s="23" t="n">
        <v>0.1</v>
      </c>
      <c r="F31" s="23"/>
      <c r="G31" s="23"/>
      <c r="H31" s="23"/>
      <c r="I31" s="23"/>
      <c r="J31" s="23"/>
      <c r="K31" s="23"/>
      <c r="L31" s="23"/>
      <c r="M31" s="23"/>
    </row>
    <row r="32" customFormat="false" ht="12.75" hidden="false" customHeight="false" outlineLevel="0" collapsed="false">
      <c r="C32" s="23"/>
      <c r="D32" s="259" t="s">
        <v>380</v>
      </c>
      <c r="E32" s="23" t="n">
        <v>20</v>
      </c>
      <c r="F32" s="23"/>
      <c r="G32" s="23"/>
      <c r="H32" s="23"/>
      <c r="I32" s="23"/>
      <c r="J32" s="23"/>
      <c r="K32" s="23"/>
      <c r="L32" s="23"/>
      <c r="M32" s="23"/>
    </row>
    <row r="33" customFormat="false" ht="12.75" hidden="false" customHeight="false" outlineLevel="0" collapsed="false">
      <c r="C33" s="23"/>
      <c r="D33" s="259" t="s">
        <v>381</v>
      </c>
      <c r="E33" s="23" t="n">
        <f aca="false">(E31/E30)^(1/(E32-1))</f>
        <v>0.893886438604078</v>
      </c>
      <c r="F33" s="23"/>
      <c r="G33" s="23"/>
      <c r="H33" s="23"/>
      <c r="I33" s="23"/>
      <c r="J33" s="23"/>
      <c r="K33" s="23"/>
      <c r="L33" s="23"/>
      <c r="M33" s="23"/>
    </row>
    <row r="34" customFormat="false" ht="12.75" hidden="false" customHeight="false" outlineLevel="0" collapsed="false">
      <c r="C34" s="23"/>
      <c r="D34" s="259"/>
      <c r="E34" s="23"/>
      <c r="F34" s="23"/>
      <c r="G34" s="23"/>
      <c r="H34" s="23"/>
      <c r="I34" s="23"/>
      <c r="J34" s="23"/>
      <c r="K34" s="23"/>
      <c r="L34" s="23"/>
      <c r="M34" s="23"/>
    </row>
    <row r="35" customFormat="false" ht="12.75" hidden="false" customHeight="false" outlineLevel="0" collapsed="false">
      <c r="D35" s="259" t="s">
        <v>382</v>
      </c>
      <c r="E35" s="23"/>
      <c r="F35" s="23"/>
      <c r="G35" s="23"/>
      <c r="H35" s="23"/>
      <c r="I35" s="23"/>
      <c r="J35" s="23"/>
      <c r="K35" s="23"/>
      <c r="L35" s="23"/>
      <c r="M35" s="23"/>
      <c r="N35" s="23"/>
      <c r="O35" s="23"/>
      <c r="P35" s="23"/>
      <c r="Q35" s="23"/>
      <c r="R35" s="23"/>
      <c r="S35" s="23"/>
      <c r="T35" s="23"/>
      <c r="U35" s="23"/>
      <c r="V35" s="23"/>
      <c r="W35" s="23"/>
      <c r="X35" s="23"/>
    </row>
    <row r="36" customFormat="false" ht="12.75" hidden="false" customHeight="false" outlineLevel="0" collapsed="false">
      <c r="D36" s="23"/>
      <c r="E36" s="23" t="n">
        <v>1</v>
      </c>
      <c r="F36" s="23" t="n">
        <v>2</v>
      </c>
      <c r="G36" s="23" t="n">
        <v>3</v>
      </c>
      <c r="H36" s="23" t="n">
        <v>4</v>
      </c>
      <c r="I36" s="23" t="n">
        <v>5</v>
      </c>
      <c r="J36" s="23" t="n">
        <v>6</v>
      </c>
      <c r="K36" s="23" t="n">
        <v>7</v>
      </c>
      <c r="L36" s="23" t="n">
        <v>8</v>
      </c>
      <c r="M36" s="23" t="n">
        <v>9</v>
      </c>
      <c r="N36" s="23" t="n">
        <v>10</v>
      </c>
      <c r="O36" s="23" t="n">
        <v>11</v>
      </c>
      <c r="P36" s="23" t="n">
        <v>12</v>
      </c>
      <c r="Q36" s="23" t="n">
        <v>13</v>
      </c>
      <c r="R36" s="23" t="n">
        <v>14</v>
      </c>
      <c r="S36" s="23" t="n">
        <v>15</v>
      </c>
      <c r="T36" s="23" t="n">
        <v>16</v>
      </c>
      <c r="U36" s="23" t="n">
        <v>17</v>
      </c>
      <c r="V36" s="23" t="n">
        <v>18</v>
      </c>
      <c r="W36" s="23" t="n">
        <v>19</v>
      </c>
      <c r="X36" s="23" t="n">
        <v>20</v>
      </c>
    </row>
    <row r="37" customFormat="false" ht="12.75" hidden="false" customHeight="false" outlineLevel="0" collapsed="false">
      <c r="D37" s="286" t="s">
        <v>383</v>
      </c>
      <c r="E37" s="286" t="n">
        <f aca="false">E30</f>
        <v>0.842627013630731</v>
      </c>
      <c r="F37" s="286" t="n">
        <f aca="false">E37*$E$33</f>
        <v>0.753212860285964</v>
      </c>
      <c r="G37" s="286" t="n">
        <f aca="false">F37*$E$33</f>
        <v>0.673286761191811</v>
      </c>
      <c r="H37" s="286" t="n">
        <f aca="false">G37*$E$33</f>
        <v>0.601841905121022</v>
      </c>
      <c r="I37" s="286" t="n">
        <f aca="false">H37*$E$33</f>
        <v>0.537978317171323</v>
      </c>
      <c r="J37" s="286" t="n">
        <f aca="false">I37*$E$33</f>
        <v>0.480891521982489</v>
      </c>
      <c r="K37" s="286" t="n">
        <f aca="false">J37*$E$33</f>
        <v>0.429862409939822</v>
      </c>
      <c r="L37" s="286" t="n">
        <f aca="false">K37*$E$33</f>
        <v>0.384248178710873</v>
      </c>
      <c r="M37" s="286" t="n">
        <f aca="false">L37*$E$33</f>
        <v>0.343474236007966</v>
      </c>
      <c r="N37" s="286" t="n">
        <f aca="false">M37*$E$33</f>
        <v>0.307026961577417</v>
      </c>
      <c r="O37" s="286" t="n">
        <f aca="false">N37*$E$33</f>
        <v>0.274447237239868</v>
      </c>
      <c r="P37" s="286" t="n">
        <f aca="false">O37*$E$33</f>
        <v>0.245324663481074</v>
      </c>
      <c r="Q37" s="286" t="n">
        <f aca="false">P37*$E$33</f>
        <v>0.219292389740841</v>
      </c>
      <c r="R37" s="286" t="n">
        <f aca="false">Q37*$E$33</f>
        <v>0.196022493278418</v>
      </c>
      <c r="S37" s="286" t="n">
        <f aca="false">R37*$E$33</f>
        <v>0.175221848402937</v>
      </c>
      <c r="T37" s="286" t="n">
        <f aca="false">S37*$E$33</f>
        <v>0.156628434034525</v>
      </c>
      <c r="U37" s="286" t="n">
        <f aca="false">T37*$E$33</f>
        <v>0.140008033083255</v>
      </c>
      <c r="V37" s="286" t="n">
        <f aca="false">U37*$E$33</f>
        <v>0.125151282068753</v>
      </c>
      <c r="W37" s="286" t="n">
        <f aca="false">V37*$E$33</f>
        <v>0.111871033815172</v>
      </c>
      <c r="X37" s="286" t="n">
        <f aca="false">W37*$E$33</f>
        <v>0.1</v>
      </c>
    </row>
    <row r="38" customFormat="false" ht="12.75" hidden="false" customHeight="false" outlineLevel="0" collapsed="false">
      <c r="D38" s="259" t="s">
        <v>384</v>
      </c>
      <c r="E38" s="23" t="n">
        <f aca="false">VINMAX/E37</f>
        <v>59.3382352941177</v>
      </c>
      <c r="F38" s="23" t="n">
        <f aca="false">VINMAX/F37</f>
        <v>66.3822972712084</v>
      </c>
      <c r="G38" s="23" t="n">
        <f aca="false">VINMAX/G37</f>
        <v>74.2625622275612</v>
      </c>
      <c r="H38" s="23" t="n">
        <f aca="false">VINMAX/H37</f>
        <v>83.0782961016078</v>
      </c>
      <c r="I38" s="23" t="n">
        <f aca="false">VINMAX/I37</f>
        <v>92.940548724898</v>
      </c>
      <c r="J38" s="23" t="n">
        <f aca="false">VINMAX/J37</f>
        <v>103.973552692037</v>
      </c>
      <c r="K38" s="23" t="n">
        <f aca="false">VINMAX/K37</f>
        <v>116.316288290943</v>
      </c>
      <c r="L38" s="23" t="n">
        <f aca="false">VINMAX/L37</f>
        <v>130.124234206514</v>
      </c>
      <c r="M38" s="23" t="n">
        <f aca="false">VINMAX/M37</f>
        <v>145.571326050902</v>
      </c>
      <c r="N38" s="23" t="n">
        <f aca="false">VINMAX/N37</f>
        <v>162.852147391598</v>
      </c>
      <c r="O38" s="23" t="n">
        <f aca="false">VINMAX/O37</f>
        <v>182.184380877188</v>
      </c>
      <c r="P38" s="23" t="n">
        <f aca="false">VINMAX/P37</f>
        <v>203.811550337079</v>
      </c>
      <c r="Q38" s="23" t="n">
        <f aca="false">VINMAX/Q37</f>
        <v>228.00608839682</v>
      </c>
      <c r="R38" s="23" t="n">
        <f aca="false">VINMAX/R37</f>
        <v>255.072768251056</v>
      </c>
      <c r="S38" s="23" t="n">
        <f aca="false">VINMAX/S37</f>
        <v>285.352542823433</v>
      </c>
      <c r="T38" s="23" t="n">
        <f aca="false">VINMAX/T37</f>
        <v>319.226839674454</v>
      </c>
      <c r="U38" s="23" t="n">
        <f aca="false">VINMAX/U37</f>
        <v>357.122365759312</v>
      </c>
      <c r="V38" s="23" t="n">
        <f aca="false">VINMAX/V37</f>
        <v>399.51648256014</v>
      </c>
      <c r="W38" s="23" t="n">
        <f aca="false">VINMAX/W37</f>
        <v>446.943219302039</v>
      </c>
      <c r="X38" s="23" t="n">
        <f aca="false">VINMAX/X37</f>
        <v>500</v>
      </c>
    </row>
    <row r="39" customFormat="false" ht="12.75" hidden="false" customHeight="false" outlineLevel="0" collapsed="false">
      <c r="D39" s="259" t="s">
        <v>385</v>
      </c>
      <c r="E39" s="23" t="n">
        <f aca="false">E37*COUTMAX/1000</f>
        <v>3.37050805452292</v>
      </c>
      <c r="F39" s="23" t="n">
        <f aca="false">F37*COUTMAX/1000</f>
        <v>3.01285144114385</v>
      </c>
      <c r="G39" s="23" t="n">
        <f aca="false">G37*COUTMAX/1000</f>
        <v>2.69314704476724</v>
      </c>
      <c r="H39" s="23" t="n">
        <f aca="false">H37*COUTMAX/1000</f>
        <v>2.40736762048409</v>
      </c>
      <c r="I39" s="23" t="n">
        <f aca="false">I37*COUTMAX/1000</f>
        <v>2.15191326868529</v>
      </c>
      <c r="J39" s="23" t="n">
        <f aca="false">J37*COUTMAX/1000</f>
        <v>1.92356608792996</v>
      </c>
      <c r="K39" s="23" t="n">
        <f aca="false">K37*COUTMAX/1000</f>
        <v>1.71944963975929</v>
      </c>
      <c r="L39" s="23" t="n">
        <f aca="false">L37*COUTMAX/1000</f>
        <v>1.53699271484349</v>
      </c>
      <c r="M39" s="23" t="n">
        <f aca="false">M37*COUTMAX/1000</f>
        <v>1.37389694403186</v>
      </c>
      <c r="N39" s="23" t="n">
        <f aca="false">N37*COUTMAX/1000</f>
        <v>1.22810784630967</v>
      </c>
      <c r="O39" s="23" t="n">
        <f aca="false">O37*COUTMAX/1000</f>
        <v>1.09778894895947</v>
      </c>
      <c r="P39" s="23" t="n">
        <f aca="false">P37*COUTMAX/1000</f>
        <v>0.981298653924296</v>
      </c>
      <c r="Q39" s="23" t="n">
        <f aca="false">Q37*COUTMAX/1000</f>
        <v>0.877169558963364</v>
      </c>
      <c r="R39" s="23" t="n">
        <f aca="false">R37*COUTMAX/1000</f>
        <v>0.784089973113671</v>
      </c>
      <c r="S39" s="23" t="n">
        <f aca="false">S37*COUTMAX/1000</f>
        <v>0.700887393611746</v>
      </c>
      <c r="T39" s="23" t="n">
        <f aca="false">T37*COUTMAX/1000</f>
        <v>0.626513736138098</v>
      </c>
      <c r="U39" s="23" t="n">
        <f aca="false">U37*COUTMAX/1000</f>
        <v>0.56003213233302</v>
      </c>
      <c r="V39" s="23" t="n">
        <f aca="false">V37*COUTMAX/1000</f>
        <v>0.50060512827501</v>
      </c>
      <c r="W39" s="23" t="n">
        <f aca="false">W37*COUTMAX/1000</f>
        <v>0.447484135260686</v>
      </c>
      <c r="X39" s="23" t="n">
        <f aca="false">X37*COUTMAX/1000</f>
        <v>0.4</v>
      </c>
    </row>
    <row r="40" customFormat="false" ht="12.75" hidden="false" customHeight="false" outlineLevel="0" collapsed="false">
      <c r="D40" s="259" t="s">
        <v>386</v>
      </c>
      <c r="E40" s="23" t="n">
        <f aca="false">$E$21+$E$22*E38/$E$23</f>
        <v>5.39426749465812</v>
      </c>
      <c r="F40" s="23" t="n">
        <f aca="false">$E$21+$E$22*F38/$E$23</f>
        <v>5.44107112227121</v>
      </c>
      <c r="G40" s="23" t="n">
        <f aca="false">$E$21+$E$22*G38/$E$23</f>
        <v>5.49343082434499</v>
      </c>
      <c r="H40" s="23" t="n">
        <f aca="false">$E$21+$E$22*H38/$E$23</f>
        <v>5.55200616435746</v>
      </c>
      <c r="I40" s="23" t="n">
        <f aca="false">$E$21+$E$22*I38/$E$23</f>
        <v>5.61753500279016</v>
      </c>
      <c r="J40" s="23" t="n">
        <f aca="false">$E$21+$E$22*J38/$E$23</f>
        <v>5.69084279179191</v>
      </c>
      <c r="K40" s="23" t="n">
        <f aca="false">$E$21+$E$22*K38/$E$23</f>
        <v>5.7728529732152</v>
      </c>
      <c r="L40" s="23" t="n">
        <f aca="false">$E$21+$E$22*L38/$E$23</f>
        <v>5.86459861100713</v>
      </c>
      <c r="M40" s="23" t="n">
        <f aca="false">$E$21+$E$22*M38/$E$23</f>
        <v>5.96723540448529</v>
      </c>
      <c r="N40" s="23" t="n">
        <f aca="false">$E$21+$E$22*N38/$E$23</f>
        <v>6.08205624642405</v>
      </c>
      <c r="O40" s="23" t="n">
        <f aca="false">$E$21+$E$22*O38/$E$23</f>
        <v>6.21050750933623</v>
      </c>
      <c r="P40" s="23" t="n">
        <f aca="false">$E$21+$E$22*P38/$E$23</f>
        <v>6.35420726510472</v>
      </c>
      <c r="Q40" s="23" t="n">
        <f aca="false">$E$21+$E$22*Q38/$E$23</f>
        <v>6.51496566747281</v>
      </c>
      <c r="R40" s="23" t="n">
        <f aca="false">$E$21+$E$22*R38/$E$23</f>
        <v>6.69480775414675</v>
      </c>
      <c r="S40" s="23" t="n">
        <f aca="false">$E$21+$E$22*S38/$E$23</f>
        <v>6.89599895574366</v>
      </c>
      <c r="T40" s="23" t="n">
        <f aca="false">$E$21+$E$22*T38/$E$23</f>
        <v>7.12107363291528</v>
      </c>
      <c r="U40" s="23" t="n">
        <f aca="false">$E$21+$E$22*U38/$E$23</f>
        <v>7.37286700112334</v>
      </c>
      <c r="V40" s="23" t="n">
        <f aca="false">$E$21+$E$22*V38/$E$23</f>
        <v>7.65455084521574</v>
      </c>
      <c r="W40" s="23" t="n">
        <f aca="false">$E$21+$E$22*W38/$E$23</f>
        <v>7.96967347369223</v>
      </c>
      <c r="X40" s="23" t="n">
        <f aca="false">$E$21+$E$22*X38/$E$23</f>
        <v>8.32220441595441</v>
      </c>
    </row>
    <row r="41" customFormat="false" ht="12.75" hidden="false" customHeight="false" outlineLevel="0" collapsed="false">
      <c r="D41" s="259" t="s">
        <v>387</v>
      </c>
      <c r="E41" s="23" t="n">
        <f aca="false">(E39+IF($E$26="Resistive",0,IF($E$25=0,$E$27,0)))*VINMAX</f>
        <v>183.525402726146</v>
      </c>
      <c r="F41" s="23" t="n">
        <f aca="false">(F39+IF($E$26="Resistive",0,IF($E$25=0,$E$27,0)))*VINMAX</f>
        <v>165.642572057193</v>
      </c>
      <c r="G41" s="23" t="n">
        <f aca="false">(G39+IF($E$26="Resistive",0,IF($E$25=0,$E$27,0)))*VINMAX</f>
        <v>149.657352238362</v>
      </c>
      <c r="H41" s="23" t="n">
        <f aca="false">(H39+IF($E$26="Resistive",0,IF($E$25=0,$E$27,0)))*VINMAX</f>
        <v>135.368381024204</v>
      </c>
      <c r="I41" s="23" t="n">
        <f aca="false">(I39+IF($E$26="Resistive",0,IF($E$25=0,$E$27,0)))*VINMAX</f>
        <v>122.595663434265</v>
      </c>
      <c r="J41" s="23" t="n">
        <f aca="false">(J39+IF($E$26="Resistive",0,IF($E$25=0,$E$27,0)))*VINMAX</f>
        <v>111.178304396498</v>
      </c>
      <c r="K41" s="23" t="n">
        <f aca="false">(K39+IF($E$26="Resistive",0,IF($E$25=0,$E$27,0)))*VINMAX</f>
        <v>100.972481987964</v>
      </c>
      <c r="L41" s="23" t="n">
        <f aca="false">(L39+IF($E$26="Resistive",0,IF($E$25=0,$E$27,0)))*VINMAX</f>
        <v>91.8496357421746</v>
      </c>
      <c r="M41" s="23" t="n">
        <f aca="false">(M39+IF($E$26="Resistive",0,IF($E$25=0,$E$27,0)))*VINMAX</f>
        <v>83.6948472015931</v>
      </c>
      <c r="N41" s="23" t="n">
        <f aca="false">(N39+IF($E$26="Resistive",0,IF($E$25=0,$E$27,0)))*VINMAX</f>
        <v>76.4053923154834</v>
      </c>
      <c r="O41" s="23" t="n">
        <f aca="false">(O39+IF($E$26="Resistive",0,IF($E$25=0,$E$27,0)))*VINMAX</f>
        <v>69.8894474479736</v>
      </c>
      <c r="P41" s="23" t="n">
        <f aca="false">(P39+IF($E$26="Resistive",0,IF($E$25=0,$E$27,0)))*VINMAX</f>
        <v>64.0649326962148</v>
      </c>
      <c r="Q41" s="23" t="n">
        <f aca="false">(Q39+IF($E$26="Resistive",0,IF($E$25=0,$E$27,0)))*VINMAX</f>
        <v>58.8584779481682</v>
      </c>
      <c r="R41" s="23" t="n">
        <f aca="false">(R39+IF($E$26="Resistive",0,IF($E$25=0,$E$27,0)))*VINMAX</f>
        <v>54.2044986556836</v>
      </c>
      <c r="S41" s="23" t="n">
        <f aca="false">(S39+IF($E$26="Resistive",0,IF($E$25=0,$E$27,0)))*VINMAX</f>
        <v>50.0443696805873</v>
      </c>
      <c r="T41" s="23" t="n">
        <f aca="false">(T39+IF($E$26="Resistive",0,IF($E$25=0,$E$27,0)))*VINMAX</f>
        <v>46.3256868069049</v>
      </c>
      <c r="U41" s="23" t="n">
        <f aca="false">(U39+IF($E$26="Resistive",0,IF($E$25=0,$E$27,0)))*VINMAX</f>
        <v>43.001606616651</v>
      </c>
      <c r="V41" s="23" t="n">
        <f aca="false">(V39+IF($E$26="Resistive",0,IF($E$25=0,$E$27,0)))*VINMAX</f>
        <v>40.0302564137505</v>
      </c>
      <c r="W41" s="23" t="n">
        <f aca="false">(W39+IF($E$26="Resistive",0,IF($E$25=0,$E$27,0)))*VINMAX</f>
        <v>37.3742067630343</v>
      </c>
      <c r="X41" s="23" t="n">
        <f aca="false">(X39+IF($E$26="Resistive",0,IF($E$25=0,$E$27,0)))*VINMAX</f>
        <v>35</v>
      </c>
    </row>
    <row r="42" customFormat="false" ht="12.75" hidden="false" customHeight="false" outlineLevel="0" collapsed="false">
      <c r="D42" s="259" t="s">
        <v>388</v>
      </c>
      <c r="E42" s="23" t="n">
        <f aca="false">(E39+IF($E$26="Resistive", $E$25/$E$27,$E$27)) *(VINMAX-$E$25)</f>
        <v>183.525402726146</v>
      </c>
      <c r="F42" s="23" t="n">
        <f aca="false">(F39+IF($E$26="Resistive", $E$25/$E$27,$E$27)) *(VINMAX-$E$25)</f>
        <v>165.642572057193</v>
      </c>
      <c r="G42" s="23" t="n">
        <f aca="false">(G39+IF($E$26="Resistive", $E$25/$E$27,$E$27)) *(VINMAX-$E$25)</f>
        <v>149.657352238362</v>
      </c>
      <c r="H42" s="23" t="n">
        <f aca="false">(H39+IF($E$26="Resistive", $E$25/$E$27,$E$27)) *(VINMAX-$E$25)</f>
        <v>135.368381024204</v>
      </c>
      <c r="I42" s="23" t="n">
        <f aca="false">(I39+IF($E$26="Resistive", $E$25/$E$27,$E$27)) *(VINMAX-$E$25)</f>
        <v>122.595663434265</v>
      </c>
      <c r="J42" s="23" t="n">
        <f aca="false">(J39+IF($E$26="Resistive", $E$25/$E$27,$E$27)) *(VINMAX-$E$25)</f>
        <v>111.178304396498</v>
      </c>
      <c r="K42" s="23" t="n">
        <f aca="false">(K39+IF($E$26="Resistive", $E$25/$E$27,$E$27)) *(VINMAX-$E$25)</f>
        <v>100.972481987964</v>
      </c>
      <c r="L42" s="23" t="n">
        <f aca="false">(L39+IF($E$26="Resistive", $E$25/$E$27,$E$27)) *(VINMAX-$E$25)</f>
        <v>91.8496357421746</v>
      </c>
      <c r="M42" s="23" t="n">
        <f aca="false">(M39+IF($E$26="Resistive", $E$25/$E$27,$E$27)) *(VINMAX-$E$25)</f>
        <v>83.6948472015931</v>
      </c>
      <c r="N42" s="23" t="n">
        <f aca="false">(N39+IF($E$26="Resistive", $E$25/$E$27,$E$27)) *(VINMAX-$E$25)</f>
        <v>76.4053923154834</v>
      </c>
      <c r="O42" s="23" t="n">
        <f aca="false">(O39+IF($E$26="Resistive", $E$25/$E$27,$E$27)) *(VINMAX-$E$25)</f>
        <v>69.8894474479736</v>
      </c>
      <c r="P42" s="23" t="n">
        <f aca="false">(P39+IF($E$26="Resistive", $E$25/$E$27,$E$27)) *(VINMAX-$E$25)</f>
        <v>64.0649326962148</v>
      </c>
      <c r="Q42" s="23" t="n">
        <f aca="false">(Q39+IF($E$26="Resistive", $E$25/$E$27,$E$27)) *(VINMAX-$E$25)</f>
        <v>58.8584779481682</v>
      </c>
      <c r="R42" s="23" t="n">
        <f aca="false">(R39+IF($E$26="Resistive", $E$25/$E$27,$E$27)) *(VINMAX-$E$25)</f>
        <v>54.2044986556836</v>
      </c>
      <c r="S42" s="23" t="n">
        <f aca="false">(S39+IF($E$26="Resistive", $E$25/$E$27,$E$27)) *(VINMAX-$E$25)</f>
        <v>50.0443696805873</v>
      </c>
      <c r="T42" s="23" t="n">
        <f aca="false">(T39+IF($E$26="Resistive", $E$25/$E$27,$E$27)) *(VINMAX-$E$25)</f>
        <v>46.3256868069049</v>
      </c>
      <c r="U42" s="23" t="n">
        <f aca="false">(U39+IF($E$26="Resistive", $E$25/$E$27,$E$27)) *(VINMAX-$E$25)</f>
        <v>43.001606616651</v>
      </c>
      <c r="V42" s="23" t="n">
        <f aca="false">(V39+IF($E$26="Resistive", $E$25/$E$27,$E$27)) *(VINMAX-$E$25)</f>
        <v>40.0302564137505</v>
      </c>
      <c r="W42" s="23" t="n">
        <f aca="false">(W39+IF($E$26="Resistive", $E$25/$E$27,$E$27)) *(VINMAX-$E$25)</f>
        <v>37.3742067630343</v>
      </c>
      <c r="X42" s="23" t="n">
        <f aca="false">(X39+IF($E$26="Resistive", $E$25/$E$27,$E$27)) *(VINMAX-$E$25)</f>
        <v>35</v>
      </c>
    </row>
    <row r="43" customFormat="false" ht="12.75" hidden="false" customHeight="false" outlineLevel="0" collapsed="false">
      <c r="D43" s="259" t="s">
        <v>389</v>
      </c>
      <c r="E43" s="23" t="n">
        <f aca="false">IF($E$26="Resistive", -$E$27*E39/2 + VINMAX/2, -1)</f>
        <v>-1</v>
      </c>
      <c r="F43" s="23" t="n">
        <f aca="false">IF($E$26="Resistive", -$E$27*F39/2 + VINMAX/2, -1)</f>
        <v>-1</v>
      </c>
      <c r="G43" s="23" t="n">
        <f aca="false">IF($E$26="Resistive", -$E$27*G39/2 + VINMAX/2, -1)</f>
        <v>-1</v>
      </c>
      <c r="H43" s="23" t="n">
        <f aca="false">IF($E$26="Resistive", -$E$27*H39/2 + VINMAX/2, -1)</f>
        <v>-1</v>
      </c>
      <c r="I43" s="23" t="n">
        <f aca="false">IF($E$26="Resistive", -$E$27*I39/2 + VINMAX/2, -1)</f>
        <v>-1</v>
      </c>
      <c r="J43" s="23" t="n">
        <f aca="false">IF($E$26="Resistive", -$E$27*J39/2 + VINMAX/2, -1)</f>
        <v>-1</v>
      </c>
      <c r="K43" s="23" t="n">
        <f aca="false">IF($E$26="Resistive", -$E$27*K39/2 + VINMAX/2, -1)</f>
        <v>-1</v>
      </c>
      <c r="L43" s="23" t="n">
        <f aca="false">IF($E$26="Resistive", -$E$27*L39/2 + VINMAX/2, -1)</f>
        <v>-1</v>
      </c>
      <c r="M43" s="23" t="n">
        <f aca="false">IF($E$26="Resistive", -$E$27*M39/2 + VINMAX/2, -1)</f>
        <v>-1</v>
      </c>
      <c r="N43" s="23" t="n">
        <f aca="false">IF($E$26="Resistive", -$E$27*N39/2 + VINMAX/2, -1)</f>
        <v>-1</v>
      </c>
      <c r="O43" s="23" t="n">
        <f aca="false">IF($E$26="Resistive", -$E$27*O39/2 + VINMAX/2, -1)</f>
        <v>-1</v>
      </c>
      <c r="P43" s="23" t="n">
        <f aca="false">IF($E$26="Resistive", -$E$27*P39/2 + VINMAX/2, -1)</f>
        <v>-1</v>
      </c>
      <c r="Q43" s="23" t="n">
        <f aca="false">IF($E$26="Resistive", -$E$27*Q39/2 + VINMAX/2, -1)</f>
        <v>-1</v>
      </c>
      <c r="R43" s="23" t="n">
        <f aca="false">IF($E$26="Resistive", -$E$27*R39/2 + VINMAX/2, -1)</f>
        <v>-1</v>
      </c>
      <c r="S43" s="23" t="n">
        <f aca="false">IF($E$26="Resistive", -$E$27*S39/2 + VINMAX/2, -1)</f>
        <v>-1</v>
      </c>
      <c r="T43" s="23" t="n">
        <f aca="false">IF($E$26="Resistive", -$E$27*T39/2 + VINMAX/2, -1)</f>
        <v>-1</v>
      </c>
      <c r="U43" s="23" t="n">
        <f aca="false">IF($E$26="Resistive", -$E$27*U39/2 + VINMAX/2, -1)</f>
        <v>-1</v>
      </c>
      <c r="V43" s="23" t="n">
        <f aca="false">IF($E$26="Resistive", -$E$27*V39/2 + VINMAX/2, -1)</f>
        <v>-1</v>
      </c>
      <c r="W43" s="23" t="n">
        <f aca="false">IF($E$26="Resistive", -$E$27*W39/2 + VINMAX/2, -1)</f>
        <v>-1</v>
      </c>
      <c r="X43" s="23" t="n">
        <f aca="false">IF($E$26="Resistive", -$E$27*X39/2 + VINMAX/2, -1)</f>
        <v>-1</v>
      </c>
    </row>
    <row r="44" customFormat="false" ht="12.75" hidden="false" customHeight="false" outlineLevel="0" collapsed="false">
      <c r="D44" s="259" t="s">
        <v>390</v>
      </c>
      <c r="E44" s="23" t="n">
        <f aca="false">IF(AND(E43&lt;VINMAX, E43&gt;$E$25), (VINMAX-E43)*(E39+E43/$E$27), 0)</f>
        <v>0</v>
      </c>
      <c r="F44" s="23" t="n">
        <f aca="false">IF(AND(F43&lt;VINMAX, F43&gt;$E$25), (VINMAX-F43)*(F39+F43/$E$27), 0)</f>
        <v>0</v>
      </c>
      <c r="G44" s="23" t="n">
        <f aca="false">IF(AND(G43&lt;VINMAX, G43&gt;$E$25), (VINMAX-G43)*(G39+G43/$E$27), 0)</f>
        <v>0</v>
      </c>
      <c r="H44" s="23" t="n">
        <f aca="false">IF(AND(H43&lt;VINMAX, H43&gt;$E$25), (VINMAX-H43)*(H39+H43/$E$27), 0)</f>
        <v>0</v>
      </c>
      <c r="I44" s="23" t="n">
        <f aca="false">IF(AND(I43&lt;VINMAX, I43&gt;$E$25), (VINMAX-I43)*(I39+I43/$E$27), 0)</f>
        <v>0</v>
      </c>
      <c r="J44" s="23" t="n">
        <f aca="false">IF(AND(J43&lt;VINMAX, J43&gt;$E$25), (VINMAX-J43)*(J39+J43/$E$27), 0)</f>
        <v>0</v>
      </c>
      <c r="K44" s="23" t="n">
        <f aca="false">IF(AND(K43&lt;VINMAX, K43&gt;$E$25), (VINMAX-K43)*(K39+K43/$E$27), 0)</f>
        <v>0</v>
      </c>
      <c r="L44" s="23" t="n">
        <f aca="false">IF(AND(L43&lt;VINMAX, L43&gt;$E$25), (VINMAX-L43)*(L39+L43/$E$27), 0)</f>
        <v>0</v>
      </c>
      <c r="M44" s="23" t="n">
        <f aca="false">IF(AND(M43&lt;VINMAX, M43&gt;$E$25), (VINMAX-M43)*(M39+M43/$E$27), 0)</f>
        <v>0</v>
      </c>
      <c r="N44" s="23" t="n">
        <f aca="false">IF(AND(N43&lt;VINMAX, N43&gt;$E$25), (VINMAX-N43)*(N39+N43/$E$27), 0)</f>
        <v>0</v>
      </c>
      <c r="O44" s="23" t="n">
        <f aca="false">IF(AND(O43&lt;VINMAX, O43&gt;$E$25), (VINMAX-O43)*(O39+O43/$E$27), 0)</f>
        <v>0</v>
      </c>
      <c r="P44" s="23" t="n">
        <f aca="false">IF(AND(P43&lt;VINMAX, P43&gt;$E$25), (VINMAX-P43)*(P39+P43/$E$27), 0)</f>
        <v>0</v>
      </c>
      <c r="Q44" s="23" t="n">
        <f aca="false">IF(AND(Q43&lt;VINMAX, Q43&gt;$E$25), (VINMAX-Q43)*(Q39+Q43/$E$27), 0)</f>
        <v>0</v>
      </c>
      <c r="R44" s="23" t="n">
        <f aca="false">IF(AND(R43&lt;VINMAX, R43&gt;$E$25), (VINMAX-R43)*(R39+R43/$E$27), 0)</f>
        <v>0</v>
      </c>
      <c r="S44" s="23" t="n">
        <f aca="false">IF(AND(S43&lt;VINMAX, S43&gt;$E$25), (VINMAX-S43)*(S39+S43/$E$27), 0)</f>
        <v>0</v>
      </c>
      <c r="T44" s="23" t="n">
        <f aca="false">IF(AND(T43&lt;VINMAX, T43&gt;$E$25), (VINMAX-T43)*(T39+T43/$E$27), 0)</f>
        <v>0</v>
      </c>
      <c r="U44" s="23" t="n">
        <f aca="false">IF(AND(U43&lt;VINMAX, U43&gt;$E$25), (VINMAX-U43)*(U39+U43/$E$27), 0)</f>
        <v>0</v>
      </c>
      <c r="V44" s="23" t="n">
        <f aca="false">IF(AND(V43&lt;VINMAX, V43&gt;$E$25), (VINMAX-V43)*(V39+V43/$E$27), 0)</f>
        <v>0</v>
      </c>
      <c r="W44" s="23" t="n">
        <f aca="false">IF(AND(W43&lt;VINMAX, W43&gt;$E$25), (VINMAX-W43)*(W39+W43/$E$27), 0)</f>
        <v>0</v>
      </c>
      <c r="X44" s="23" t="n">
        <f aca="false">IF(AND(X43&lt;VINMAX, X43&gt;$E$25), (VINMAX-X43)*(X39+X43/$E$27), 0)</f>
        <v>0</v>
      </c>
    </row>
    <row r="46" customFormat="false" ht="12.75" hidden="false" customHeight="false" outlineLevel="0" collapsed="false">
      <c r="D46" s="259" t="s">
        <v>391</v>
      </c>
      <c r="E46" s="23" t="n">
        <f aca="false">MAX(E41,E42,E44)</f>
        <v>183.525402726146</v>
      </c>
      <c r="F46" s="23" t="n">
        <f aca="false">MAX(F41,F42,F44)</f>
        <v>165.642572057193</v>
      </c>
      <c r="G46" s="23" t="n">
        <f aca="false">MAX(G41,G42,G44)</f>
        <v>149.657352238362</v>
      </c>
      <c r="H46" s="23" t="n">
        <f aca="false">MAX(H41,H42,H44)</f>
        <v>135.368381024204</v>
      </c>
      <c r="I46" s="23" t="n">
        <f aca="false">MAX(I41,I42,I44)</f>
        <v>122.595663434265</v>
      </c>
      <c r="J46" s="23" t="n">
        <f aca="false">MAX(J41,J42,J44)</f>
        <v>111.178304396498</v>
      </c>
      <c r="K46" s="23" t="n">
        <f aca="false">MAX(K41,K42,K44)</f>
        <v>100.972481987964</v>
      </c>
      <c r="L46" s="23" t="n">
        <f aca="false">MAX(L41,L42,L44)</f>
        <v>91.8496357421746</v>
      </c>
      <c r="M46" s="23" t="n">
        <f aca="false">MAX(M41,M42,M44)</f>
        <v>83.6948472015931</v>
      </c>
      <c r="N46" s="23" t="n">
        <f aca="false">MAX(N41,N42,N44)</f>
        <v>76.4053923154834</v>
      </c>
      <c r="O46" s="23" t="n">
        <f aca="false">MAX(O41,O42,O44)</f>
        <v>69.8894474479736</v>
      </c>
      <c r="P46" s="23" t="n">
        <f aca="false">MAX(P41,P42,P44)</f>
        <v>64.0649326962148</v>
      </c>
      <c r="Q46" s="23" t="n">
        <f aca="false">MAX(Q41,Q42,Q44)</f>
        <v>58.8584779481682</v>
      </c>
      <c r="R46" s="23" t="n">
        <f aca="false">MAX(R41,R42,R44)</f>
        <v>54.2044986556836</v>
      </c>
      <c r="S46" s="23" t="n">
        <f aca="false">MAX(S41,S42,S44)</f>
        <v>50.0443696805873</v>
      </c>
      <c r="T46" s="23" t="n">
        <f aca="false">MAX(T41,T42,T44)</f>
        <v>46.3256868069049</v>
      </c>
      <c r="U46" s="23" t="n">
        <f aca="false">MAX(U41,U42,U44)</f>
        <v>43.001606616651</v>
      </c>
      <c r="V46" s="23" t="n">
        <f aca="false">MAX(V41,V42,V44)</f>
        <v>40.0302564137505</v>
      </c>
      <c r="W46" s="23" t="n">
        <f aca="false">MAX(W41,W42,W44)</f>
        <v>37.3742067630343</v>
      </c>
      <c r="X46" s="23" t="n">
        <f aca="false">MAX(X41,X42,X44)</f>
        <v>35</v>
      </c>
    </row>
    <row r="47" customFormat="false" ht="12.75" hidden="false" customHeight="false" outlineLevel="0" collapsed="false">
      <c r="D47" s="259" t="s">
        <v>392</v>
      </c>
      <c r="E47" s="23" t="n">
        <f aca="false">E40/E46*1000</f>
        <v>29.3924841712913</v>
      </c>
      <c r="F47" s="23" t="n">
        <f aca="false">F40/F46*1000</f>
        <v>32.8482651210737</v>
      </c>
      <c r="G47" s="23" t="n">
        <f aca="false">G40/G46*1000</f>
        <v>36.7067220031762</v>
      </c>
      <c r="H47" s="23" t="n">
        <f aca="false">H40/H46*1000</f>
        <v>41.0140545550644</v>
      </c>
      <c r="I47" s="23" t="n">
        <f aca="false">I40/I46*1000</f>
        <v>45.8216452803183</v>
      </c>
      <c r="J47" s="23" t="n">
        <f aca="false">J40/J46*1000</f>
        <v>51.1866305452592</v>
      </c>
      <c r="K47" s="23" t="n">
        <f aca="false">K40/K46*1000</f>
        <v>57.1725371067268</v>
      </c>
      <c r="L47" s="23" t="n">
        <f aca="false">L40/L46*1000</f>
        <v>63.849993128653</v>
      </c>
      <c r="M47" s="23" t="n">
        <f aca="false">M40/M46*1000</f>
        <v>71.2975243280175</v>
      </c>
      <c r="N47" s="23" t="n">
        <f aca="false">N40/N46*1000</f>
        <v>79.6024477082822</v>
      </c>
      <c r="O47" s="23" t="n">
        <f aca="false">O40/O46*1000</f>
        <v>88.8618773808362</v>
      </c>
      <c r="P47" s="23" t="n">
        <f aca="false">P40/P46*1000</f>
        <v>99.1838592141399</v>
      </c>
      <c r="Q47" s="23" t="n">
        <f aca="false">Q40/Q46*1000</f>
        <v>110.688653437658</v>
      </c>
      <c r="R47" s="23" t="n">
        <f aca="false">R40/R46*1000</f>
        <v>123.510186795995</v>
      </c>
      <c r="S47" s="23" t="n">
        <f aca="false">S40/S46*1000</f>
        <v>137.797698317673</v>
      </c>
      <c r="T47" s="23" t="n">
        <f aca="false">T40/T46*1000</f>
        <v>153.717605150624</v>
      </c>
      <c r="U47" s="23" t="n">
        <f aca="false">U40/U46*1000</f>
        <v>171.455617155207</v>
      </c>
      <c r="V47" s="23" t="n">
        <f aca="false">V40/V46*1000</f>
        <v>191.219131001778</v>
      </c>
      <c r="W47" s="23" t="n">
        <f aca="false">W40/W46*1000</f>
        <v>213.239936414511</v>
      </c>
      <c r="X47" s="23" t="n">
        <f aca="false">X40/X46*1000</f>
        <v>237.777269027269</v>
      </c>
    </row>
    <row r="49" customFormat="false" ht="12.75" hidden="false" customHeight="false" outlineLevel="0" collapsed="false">
      <c r="D49" s="259" t="s">
        <v>337</v>
      </c>
      <c r="E49" s="23" t="n">
        <f aca="false">IF(E47&lt;$J$23,$J$24,IF(E47&lt;$K$23,$K$24,IF(E47&lt;$L$23,$L$24,$M$24)))</f>
        <v>28.8</v>
      </c>
      <c r="F49" s="23" t="n">
        <f aca="false">IF(F47&lt;$J$23,$J$24,IF(F47&lt;$K$23,$K$24,IF(F47&lt;$L$23,$L$24,$M$24)))</f>
        <v>28.8</v>
      </c>
      <c r="G49" s="23" t="n">
        <f aca="false">IF(G47&lt;$J$23,$J$24,IF(G47&lt;$K$23,$K$24,IF(G47&lt;$L$23,$L$24,$M$24)))</f>
        <v>28.8</v>
      </c>
      <c r="H49" s="23" t="n">
        <f aca="false">IF(H47&lt;$J$23,$J$24,IF(H47&lt;$K$23,$K$24,IF(H47&lt;$L$23,$L$24,$M$24)))</f>
        <v>28.8</v>
      </c>
      <c r="I49" s="23" t="n">
        <f aca="false">IF(I47&lt;$J$23,$J$24,IF(I47&lt;$K$23,$K$24,IF(I47&lt;$L$23,$L$24,$M$24)))</f>
        <v>28.8</v>
      </c>
      <c r="J49" s="23" t="n">
        <f aca="false">IF(J47&lt;$J$23,$J$24,IF(J47&lt;$K$23,$K$24,IF(J47&lt;$L$23,$L$24,$M$24)))</f>
        <v>28.8</v>
      </c>
      <c r="K49" s="23" t="n">
        <f aca="false">IF(K47&lt;$J$23,$J$24,IF(K47&lt;$K$23,$K$24,IF(K47&lt;$L$23,$L$24,$M$24)))</f>
        <v>28.8</v>
      </c>
      <c r="L49" s="23" t="n">
        <f aca="false">IF(L47&lt;$J$23,$J$24,IF(L47&lt;$K$23,$K$24,IF(L47&lt;$L$23,$L$24,$M$24)))</f>
        <v>28.8</v>
      </c>
      <c r="M49" s="23" t="n">
        <f aca="false">IF(M47&lt;$J$23,$J$24,IF(M47&lt;$K$23,$K$24,IF(M47&lt;$L$23,$L$24,$M$24)))</f>
        <v>28.8</v>
      </c>
      <c r="N49" s="23" t="n">
        <f aca="false">IF(N47&lt;$J$23,$J$24,IF(N47&lt;$K$23,$K$24,IF(N47&lt;$L$23,$L$24,$M$24)))</f>
        <v>28.8</v>
      </c>
      <c r="O49" s="23" t="n">
        <f aca="false">IF(O47&lt;$J$23,$J$24,IF(O47&lt;$K$23,$K$24,IF(O47&lt;$L$23,$L$24,$M$24)))</f>
        <v>28.8</v>
      </c>
      <c r="P49" s="23" t="n">
        <f aca="false">IF(P47&lt;$J$23,$J$24,IF(P47&lt;$K$23,$K$24,IF(P47&lt;$L$23,$L$24,$M$24)))</f>
        <v>28.8</v>
      </c>
      <c r="Q49" s="23" t="n">
        <f aca="false">IF(Q47&lt;$J$23,$J$24,IF(Q47&lt;$K$23,$K$24,IF(Q47&lt;$L$23,$L$24,$M$24)))</f>
        <v>31.25</v>
      </c>
      <c r="R49" s="23" t="n">
        <f aca="false">IF(R47&lt;$J$23,$J$24,IF(R47&lt;$K$23,$K$24,IF(R47&lt;$L$23,$L$24,$M$24)))</f>
        <v>31.25</v>
      </c>
      <c r="S49" s="23" t="n">
        <f aca="false">IF(S47&lt;$J$23,$J$24,IF(S47&lt;$K$23,$K$24,IF(S47&lt;$L$23,$L$24,$M$24)))</f>
        <v>31.25</v>
      </c>
      <c r="T49" s="23" t="n">
        <f aca="false">IF(T47&lt;$J$23,$J$24,IF(T47&lt;$K$23,$K$24,IF(T47&lt;$L$23,$L$24,$M$24)))</f>
        <v>31.25</v>
      </c>
      <c r="U49" s="23" t="n">
        <f aca="false">IF(U47&lt;$J$23,$J$24,IF(U47&lt;$K$23,$K$24,IF(U47&lt;$L$23,$L$24,$M$24)))</f>
        <v>31.25</v>
      </c>
      <c r="V49" s="23" t="n">
        <f aca="false">IF(V47&lt;$J$23,$J$24,IF(V47&lt;$K$23,$K$24,IF(V47&lt;$L$23,$L$24,$M$24)))</f>
        <v>31.25</v>
      </c>
      <c r="W49" s="23" t="n">
        <f aca="false">IF(W47&lt;$J$23,$J$24,IF(W47&lt;$K$23,$K$24,IF(W47&lt;$L$23,$L$24,$M$24)))</f>
        <v>31.25</v>
      </c>
      <c r="X49" s="23" t="n">
        <f aca="false">IF(X47&lt;$J$23,$J$24,IF(X47&lt;$K$23,$K$24,IF(X47&lt;$L$23,$L$24,$M$24)))</f>
        <v>31.25</v>
      </c>
    </row>
    <row r="50" customFormat="false" ht="12.75" hidden="false" customHeight="false" outlineLevel="0" collapsed="false">
      <c r="D50" s="259" t="s">
        <v>338</v>
      </c>
      <c r="E50" s="23" t="n">
        <f aca="false">IF(E47&lt;$J$23,$J$25,IF(E47&lt;$K$23,$K$25,IF(E47&lt;$L$23,$L$25,$M$25)))</f>
        <v>-0.380211241711606</v>
      </c>
      <c r="F50" s="23" t="n">
        <f aca="false">IF(F47&lt;$J$23,$J$25,IF(F47&lt;$K$23,$K$25,IF(F47&lt;$L$23,$L$25,$M$25)))</f>
        <v>-0.380211241711606</v>
      </c>
      <c r="G50" s="23" t="n">
        <f aca="false">IF(G47&lt;$J$23,$J$25,IF(G47&lt;$K$23,$K$25,IF(G47&lt;$L$23,$L$25,$M$25)))</f>
        <v>-0.380211241711606</v>
      </c>
      <c r="H50" s="23" t="n">
        <f aca="false">IF(H47&lt;$J$23,$J$25,IF(H47&lt;$K$23,$K$25,IF(H47&lt;$L$23,$L$25,$M$25)))</f>
        <v>-0.380211241711606</v>
      </c>
      <c r="I50" s="23" t="n">
        <f aca="false">IF(I47&lt;$J$23,$J$25,IF(I47&lt;$K$23,$K$25,IF(I47&lt;$L$23,$L$25,$M$25)))</f>
        <v>-0.380211241711606</v>
      </c>
      <c r="J50" s="23" t="n">
        <f aca="false">IF(J47&lt;$J$23,$J$25,IF(J47&lt;$K$23,$K$25,IF(J47&lt;$L$23,$L$25,$M$25)))</f>
        <v>-0.380211241711606</v>
      </c>
      <c r="K50" s="23" t="n">
        <f aca="false">IF(K47&lt;$J$23,$J$25,IF(K47&lt;$K$23,$K$25,IF(K47&lt;$L$23,$L$25,$M$25)))</f>
        <v>-0.380211241711606</v>
      </c>
      <c r="L50" s="23" t="n">
        <f aca="false">IF(L47&lt;$J$23,$J$25,IF(L47&lt;$K$23,$K$25,IF(L47&lt;$L$23,$L$25,$M$25)))</f>
        <v>-0.380211241711606</v>
      </c>
      <c r="M50" s="23" t="n">
        <f aca="false">IF(M47&lt;$J$23,$J$25,IF(M47&lt;$K$23,$K$25,IF(M47&lt;$L$23,$L$25,$M$25)))</f>
        <v>-0.380211241711606</v>
      </c>
      <c r="N50" s="23" t="n">
        <f aca="false">IF(N47&lt;$J$23,$J$25,IF(N47&lt;$K$23,$K$25,IF(N47&lt;$L$23,$L$25,$M$25)))</f>
        <v>-0.380211241711606</v>
      </c>
      <c r="O50" s="23" t="n">
        <f aca="false">IF(O47&lt;$J$23,$J$25,IF(O47&lt;$K$23,$K$25,IF(O47&lt;$L$23,$L$25,$M$25)))</f>
        <v>-0.380211241711606</v>
      </c>
      <c r="P50" s="23" t="n">
        <f aca="false">IF(P47&lt;$J$23,$J$25,IF(P47&lt;$K$23,$K$25,IF(P47&lt;$L$23,$L$25,$M$25)))</f>
        <v>-0.380211241711606</v>
      </c>
      <c r="Q50" s="23" t="n">
        <f aca="false">IF(Q47&lt;$J$23,$J$25,IF(Q47&lt;$K$23,$K$25,IF(Q47&lt;$L$23,$L$25,$M$25)))</f>
        <v>-0.397940008672038</v>
      </c>
      <c r="R50" s="23" t="n">
        <f aca="false">IF(R47&lt;$J$23,$J$25,IF(R47&lt;$K$23,$K$25,IF(R47&lt;$L$23,$L$25,$M$25)))</f>
        <v>-0.397940008672038</v>
      </c>
      <c r="S50" s="23" t="n">
        <f aca="false">IF(S47&lt;$J$23,$J$25,IF(S47&lt;$K$23,$K$25,IF(S47&lt;$L$23,$L$25,$M$25)))</f>
        <v>-0.397940008672038</v>
      </c>
      <c r="T50" s="23" t="n">
        <f aca="false">IF(T47&lt;$J$23,$J$25,IF(T47&lt;$K$23,$K$25,IF(T47&lt;$L$23,$L$25,$M$25)))</f>
        <v>-0.397940008672038</v>
      </c>
      <c r="U50" s="23" t="n">
        <f aca="false">IF(U47&lt;$J$23,$J$25,IF(U47&lt;$K$23,$K$25,IF(U47&lt;$L$23,$L$25,$M$25)))</f>
        <v>-0.397940008672038</v>
      </c>
      <c r="V50" s="23" t="n">
        <f aca="false">IF(V47&lt;$J$23,$J$25,IF(V47&lt;$K$23,$K$25,IF(V47&lt;$L$23,$L$25,$M$25)))</f>
        <v>-0.397940008672038</v>
      </c>
      <c r="W50" s="23" t="n">
        <f aca="false">IF(W47&lt;$J$23,$J$25,IF(W47&lt;$K$23,$K$25,IF(W47&lt;$L$23,$L$25,$M$25)))</f>
        <v>-0.397940008672038</v>
      </c>
      <c r="X50" s="23" t="n">
        <f aca="false">IF(X47&lt;$J$23,$J$25,IF(X47&lt;$K$23,$K$25,IF(X47&lt;$L$23,$L$25,$M$25)))</f>
        <v>-0.397940008672038</v>
      </c>
    </row>
    <row r="52" customFormat="false" ht="12.75" hidden="false" customHeight="false" outlineLevel="0" collapsed="false">
      <c r="D52" s="259" t="s">
        <v>393</v>
      </c>
      <c r="E52" s="23" t="n">
        <f aca="false">E49*E47^E50*VINMAX</f>
        <v>398.219523180955</v>
      </c>
      <c r="F52" s="23" t="n">
        <f aca="false">F49*F47^F50*VINMAX</f>
        <v>381.739776809005</v>
      </c>
      <c r="G52" s="23" t="n">
        <f aca="false">G49*G47^G50*VINMAX</f>
        <v>365.955790631627</v>
      </c>
      <c r="H52" s="23" t="n">
        <f aca="false">H49*H47^H50*VINMAX</f>
        <v>350.838580859</v>
      </c>
      <c r="I52" s="23" t="n">
        <f aca="false">I49*I47^I50*VINMAX</f>
        <v>336.360312012552</v>
      </c>
      <c r="J52" s="23" t="n">
        <f aca="false">J49*J47^J50*VINMAX</f>
        <v>322.494239023726</v>
      </c>
      <c r="K52" s="23" t="n">
        <f aca="false">K49*K47^K50*VINMAX</f>
        <v>309.214651650268</v>
      </c>
      <c r="L52" s="23" t="n">
        <f aca="false">L49*L47^L50*VINMAX</f>
        <v>296.496821479394</v>
      </c>
      <c r="M52" s="23" t="n">
        <f aca="false">M49*M47^M50*VINMAX</f>
        <v>284.316951864041</v>
      </c>
      <c r="N52" s="23" t="n">
        <f aca="false">N49*N47^N50*VINMAX</f>
        <v>272.652131207226</v>
      </c>
      <c r="O52" s="23" t="n">
        <f aca="false">O49*O47^O50*VINMAX</f>
        <v>261.480290061119</v>
      </c>
      <c r="P52" s="23" t="n">
        <f aca="false">P49*P47^P50*VINMAX</f>
        <v>250.780162531143</v>
      </c>
      <c r="Q52" s="23" t="n">
        <f aca="false">Q49*Q47^Q50*VINMAX</f>
        <v>240.098595192546</v>
      </c>
      <c r="R52" s="23" t="n">
        <f aca="false">R49*R47^R50*VINMAX</f>
        <v>229.851744463557</v>
      </c>
      <c r="S52" s="23" t="n">
        <f aca="false">S49*S47^S50*VINMAX</f>
        <v>220.054401923526</v>
      </c>
      <c r="T52" s="23" t="n">
        <f aca="false">T49*T47^T50*VINMAX</f>
        <v>210.685774864853</v>
      </c>
      <c r="U52" s="23" t="n">
        <f aca="false">U49*U47^U50*VINMAX</f>
        <v>201.725904780301</v>
      </c>
      <c r="V52" s="23" t="n">
        <f aca="false">V49*V47^V50*VINMAX</f>
        <v>193.155653774247</v>
      </c>
      <c r="W52" s="23" t="n">
        <f aca="false">W49*W47^W50*VINMAX</f>
        <v>184.956695383194</v>
      </c>
      <c r="X52" s="23" t="n">
        <f aca="false">X49*X47^X50*VINMAX</f>
        <v>177.11150864907</v>
      </c>
      <c r="Y52" s="23"/>
    </row>
    <row r="53" customFormat="false" ht="12.75" hidden="false" customHeight="false" outlineLevel="0" collapsed="false">
      <c r="D53" s="259" t="s">
        <v>394</v>
      </c>
      <c r="E53" s="23" t="n">
        <f aca="false">E52*(TJMAX-$E$19)/(TJMAX - 25)</f>
        <v>318.575618544764</v>
      </c>
      <c r="F53" s="23" t="n">
        <f aca="false">F52*(TJMAX-$E$19)/(TJMAX - 25)</f>
        <v>305.391821447204</v>
      </c>
      <c r="G53" s="23" t="n">
        <f aca="false">G52*(TJMAX-$E$19)/(TJMAX - 25)</f>
        <v>292.764632505302</v>
      </c>
      <c r="H53" s="23" t="n">
        <f aca="false">H52*(TJMAX-$E$19)/(TJMAX - 25)</f>
        <v>280.6708646872</v>
      </c>
      <c r="I53" s="23" t="n">
        <f aca="false">I52*(TJMAX-$E$19)/(TJMAX - 25)</f>
        <v>269.088249610041</v>
      </c>
      <c r="J53" s="23" t="n">
        <f aca="false">J52*(TJMAX-$E$19)/(TJMAX - 25)</f>
        <v>257.995391218981</v>
      </c>
      <c r="K53" s="23" t="n">
        <f aca="false">K52*(TJMAX-$E$19)/(TJMAX - 25)</f>
        <v>247.371721320215</v>
      </c>
      <c r="L53" s="23" t="n">
        <f aca="false">L52*(TJMAX-$E$19)/(TJMAX - 25)</f>
        <v>237.197457183515</v>
      </c>
      <c r="M53" s="23" t="n">
        <f aca="false">M52*(TJMAX-$E$19)/(TJMAX - 25)</f>
        <v>227.453561491233</v>
      </c>
      <c r="N53" s="23" t="n">
        <f aca="false">N52*(TJMAX-$E$19)/(TJMAX - 25)</f>
        <v>218.121704965781</v>
      </c>
      <c r="O53" s="23" t="n">
        <f aca="false">O52*(TJMAX-$E$19)/(TJMAX - 25)</f>
        <v>209.184232048895</v>
      </c>
      <c r="P53" s="23" t="n">
        <f aca="false">P52*(TJMAX-$E$19)/(TJMAX - 25)</f>
        <v>200.624130024915</v>
      </c>
      <c r="Q53" s="23" t="n">
        <f aca="false">Q52*(TJMAX-$E$19)/(TJMAX - 25)</f>
        <v>192.078876154037</v>
      </c>
      <c r="R53" s="23" t="n">
        <f aca="false">R52*(TJMAX-$E$19)/(TJMAX - 25)</f>
        <v>183.881395570845</v>
      </c>
      <c r="S53" s="23" t="n">
        <f aca="false">S52*(TJMAX-$E$19)/(TJMAX - 25)</f>
        <v>176.043521538821</v>
      </c>
      <c r="T53" s="23" t="n">
        <f aca="false">T52*(TJMAX-$E$19)/(TJMAX - 25)</f>
        <v>168.548619891882</v>
      </c>
      <c r="U53" s="23" t="n">
        <f aca="false">U52*(TJMAX-$E$19)/(TJMAX - 25)</f>
        <v>161.380723824241</v>
      </c>
      <c r="V53" s="23" t="n">
        <f aca="false">V52*(TJMAX-$E$19)/(TJMAX - 25)</f>
        <v>154.524523019398</v>
      </c>
      <c r="W53" s="23" t="n">
        <f aca="false">W52*(TJMAX-$E$19)/(TJMAX - 25)</f>
        <v>147.965356306555</v>
      </c>
      <c r="X53" s="23" t="n">
        <f aca="false">X52*(TJMAX-$E$19)/(TJMAX - 25)</f>
        <v>141.689206919256</v>
      </c>
      <c r="Y53" s="23"/>
    </row>
    <row r="54" customFormat="false" ht="12.75" hidden="false" customHeight="false" outlineLevel="0" collapsed="false">
      <c r="D54" s="259" t="s">
        <v>395</v>
      </c>
      <c r="E54" s="23" t="n">
        <f aca="false">E53/E46</f>
        <v>1.73586660926791</v>
      </c>
      <c r="F54" s="23" t="n">
        <f aca="false">F53/F46</f>
        <v>1.84367954236885</v>
      </c>
      <c r="G54" s="23" t="n">
        <f aca="false">G53/G46</f>
        <v>1.95623287547551</v>
      </c>
      <c r="H54" s="23" t="n">
        <f aca="false">H53/H46</f>
        <v>2.07338569438173</v>
      </c>
      <c r="I54" s="23" t="n">
        <f aca="false">I53/I46</f>
        <v>2.19492469857488</v>
      </c>
      <c r="J54" s="23" t="n">
        <f aca="false">J53/J46</f>
        <v>2.32055518942694</v>
      </c>
      <c r="K54" s="23" t="n">
        <f aca="false">K53/K46</f>
        <v>2.44989245039753</v>
      </c>
      <c r="L54" s="23" t="n">
        <f aca="false">L53/L46</f>
        <v>2.58245397781802</v>
      </c>
      <c r="M54" s="23" t="n">
        <f aca="false">M53/M46</f>
        <v>2.71765310644959</v>
      </c>
      <c r="N54" s="23" t="n">
        <f aca="false">N53/N46</f>
        <v>2.85479464675923</v>
      </c>
      <c r="O54" s="23" t="n">
        <f aca="false">O53/O46</f>
        <v>2.99307319899208</v>
      </c>
      <c r="P54" s="23" t="n">
        <f aca="false">P53/P46</f>
        <v>3.13157481919541</v>
      </c>
      <c r="Q54" s="23" t="n">
        <f aca="false">Q53/Q46</f>
        <v>3.26340202550234</v>
      </c>
      <c r="R54" s="23" t="n">
        <f aca="false">R53/R46</f>
        <v>3.39236410503291</v>
      </c>
      <c r="S54" s="23" t="n">
        <f aca="false">S53/S46</f>
        <v>3.51774880296094</v>
      </c>
      <c r="T54" s="23" t="n">
        <f aca="false">T53/T46</f>
        <v>3.63834044370303</v>
      </c>
      <c r="U54" s="23" t="n">
        <f aca="false">U53/U46</f>
        <v>3.75289986867028</v>
      </c>
      <c r="V54" s="23" t="n">
        <f aca="false">V53/V46</f>
        <v>3.86019318543057</v>
      </c>
      <c r="W54" s="23" t="n">
        <f aca="false">W53/W46</f>
        <v>3.95902332442017</v>
      </c>
      <c r="X54" s="23" t="n">
        <f aca="false">X53/X46</f>
        <v>4.04826305483588</v>
      </c>
      <c r="Y54" s="23"/>
    </row>
    <row r="56" customFormat="false" ht="12.75" hidden="false" customHeight="false" outlineLevel="0" collapsed="false">
      <c r="D56" s="259" t="s">
        <v>396</v>
      </c>
      <c r="E56" s="23" t="str">
        <f aca="false">IF(E54&gt;$E$20, "Y", "N")</f>
        <v>Y</v>
      </c>
      <c r="F56" s="23" t="str">
        <f aca="false">IF(F54&gt;$E$20, "Y", "N")</f>
        <v>Y</v>
      </c>
      <c r="G56" s="23" t="str">
        <f aca="false">IF(G54&gt;$E$20, "Y", "N")</f>
        <v>Y</v>
      </c>
      <c r="H56" s="23" t="str">
        <f aca="false">IF(H54&gt;$E$20, "Y", "N")</f>
        <v>Y</v>
      </c>
      <c r="I56" s="23" t="str">
        <f aca="false">IF(I54&gt;$E$20, "Y", "N")</f>
        <v>Y</v>
      </c>
      <c r="J56" s="23" t="str">
        <f aca="false">IF(J54&gt;$E$20, "Y", "N")</f>
        <v>Y</v>
      </c>
      <c r="K56" s="23" t="str">
        <f aca="false">IF(K54&gt;$E$20, "Y", "N")</f>
        <v>Y</v>
      </c>
      <c r="L56" s="23" t="str">
        <f aca="false">IF(L54&gt;$E$20, "Y", "N")</f>
        <v>Y</v>
      </c>
      <c r="M56" s="23" t="str">
        <f aca="false">IF(M54&gt;$E$20, "Y", "N")</f>
        <v>Y</v>
      </c>
      <c r="N56" s="23" t="str">
        <f aca="false">IF(N54&gt;$E$20, "Y", "N")</f>
        <v>Y</v>
      </c>
      <c r="O56" s="23" t="str">
        <f aca="false">IF(O54&gt;$E$20, "Y", "N")</f>
        <v>Y</v>
      </c>
      <c r="P56" s="23" t="str">
        <f aca="false">IF(P54&gt;$E$20, "Y", "N")</f>
        <v>Y</v>
      </c>
      <c r="Q56" s="23" t="str">
        <f aca="false">IF(Q54&gt;$E$20, "Y", "N")</f>
        <v>Y</v>
      </c>
      <c r="R56" s="23" t="str">
        <f aca="false">IF(R54&gt;$E$20, "Y", "N")</f>
        <v>Y</v>
      </c>
      <c r="S56" s="23" t="str">
        <f aca="false">IF(S54&gt;$E$20, "Y", "N")</f>
        <v>Y</v>
      </c>
      <c r="T56" s="23" t="str">
        <f aca="false">IF(T54&gt;$E$20, "Y", "N")</f>
        <v>Y</v>
      </c>
      <c r="U56" s="23" t="str">
        <f aca="false">IF(U54&gt;$E$20, "Y", "N")</f>
        <v>Y</v>
      </c>
      <c r="V56" s="23" t="str">
        <f aca="false">IF(V54&gt;$E$20, "Y", "N")</f>
        <v>Y</v>
      </c>
      <c r="W56" s="23" t="str">
        <f aca="false">IF(W54&gt;$E$20, "Y", "N")</f>
        <v>Y</v>
      </c>
      <c r="X56" s="23" t="str">
        <f aca="false">IF(X54&gt;$E$20, "Y", "N")</f>
        <v>Y</v>
      </c>
      <c r="Y56" s="23" t="s">
        <v>397</v>
      </c>
    </row>
    <row r="57" customFormat="false" ht="12.75" hidden="false" customHeight="false" outlineLevel="0" collapsed="false">
      <c r="D57" s="259" t="s">
        <v>398</v>
      </c>
      <c r="E57" s="23" t="n">
        <f aca="false">IF(E56="Y", 1, 0)</f>
        <v>1</v>
      </c>
      <c r="F57" s="23" t="n">
        <f aca="false">IF(AND(F56="Y", E56="N"),  1, 0)</f>
        <v>0</v>
      </c>
      <c r="G57" s="23" t="n">
        <f aca="false">IF(AND(G56="Y", F56="N"),  1, 0)</f>
        <v>0</v>
      </c>
      <c r="H57" s="23" t="n">
        <f aca="false">IF(AND(H56="Y", G56="N"),  1, 0)</f>
        <v>0</v>
      </c>
      <c r="I57" s="23" t="n">
        <f aca="false">IF(AND(I56="Y", H56="N"),  1, 0)</f>
        <v>0</v>
      </c>
      <c r="J57" s="23" t="n">
        <f aca="false">IF(AND(J56="Y", I56="N"),  1, 0)</f>
        <v>0</v>
      </c>
      <c r="K57" s="23" t="n">
        <f aca="false">IF(AND(K56="Y", J56="N"),  1, 0)</f>
        <v>0</v>
      </c>
      <c r="L57" s="23" t="n">
        <f aca="false">IF(AND(L56="Y", K56="N"),  1, 0)</f>
        <v>0</v>
      </c>
      <c r="M57" s="23" t="n">
        <f aca="false">IF(AND(M56="Y", L56="N"),  1, 0)</f>
        <v>0</v>
      </c>
      <c r="N57" s="23" t="n">
        <f aca="false">IF(AND(N56="Y", M56="N"),  1, 0)</f>
        <v>0</v>
      </c>
      <c r="O57" s="23" t="n">
        <f aca="false">IF(AND(O56="Y", N56="N"),  1, 0)</f>
        <v>0</v>
      </c>
      <c r="P57" s="23" t="n">
        <f aca="false">IF(AND(P56="Y", O56="N"),  1, 0)</f>
        <v>0</v>
      </c>
      <c r="Q57" s="23" t="n">
        <f aca="false">IF(AND(Q56="Y", P56="N"),  1, 0)</f>
        <v>0</v>
      </c>
      <c r="R57" s="23" t="n">
        <f aca="false">IF(AND(R56="Y", Q56="N"),  1, 0)</f>
        <v>0</v>
      </c>
      <c r="S57" s="23" t="n">
        <f aca="false">IF(AND(S56="Y", R56="N"),  1, 0)</f>
        <v>0</v>
      </c>
      <c r="T57" s="23" t="n">
        <f aca="false">IF(AND(T56="Y", S56="N"),  1, 0)</f>
        <v>0</v>
      </c>
      <c r="U57" s="23" t="n">
        <f aca="false">IF(AND(U56="Y", T56="N"),  1, 0)</f>
        <v>0</v>
      </c>
      <c r="V57" s="23" t="n">
        <f aca="false">IF(AND(V56="Y", U56="N"),  1, 0)</f>
        <v>0</v>
      </c>
      <c r="W57" s="23" t="n">
        <f aca="false">IF(AND(W56="Y", V56="N"),  1, 0)</f>
        <v>0</v>
      </c>
      <c r="X57" s="23" t="n">
        <f aca="false">IF(AND(X56="Y", W56="N"),  1, 0)</f>
        <v>0</v>
      </c>
      <c r="Y57" s="23"/>
    </row>
    <row r="58" customFormat="false" ht="12.75" hidden="false" customHeight="false" outlineLevel="0" collapsed="false">
      <c r="D58" s="259" t="s">
        <v>399</v>
      </c>
      <c r="E58" s="23" t="n">
        <v>0</v>
      </c>
      <c r="F58" s="23" t="n">
        <f aca="false">IF(AND(F56="Y", G56="N"),  1, 0)</f>
        <v>0</v>
      </c>
      <c r="G58" s="23" t="n">
        <f aca="false">IF(AND(G56="Y", H56="N"),  1, 0)</f>
        <v>0</v>
      </c>
      <c r="H58" s="23" t="n">
        <f aca="false">IF(AND(H56="Y", I56="N"),  1, 0)</f>
        <v>0</v>
      </c>
      <c r="I58" s="23" t="n">
        <f aca="false">IF(AND(I56="Y", J56="N"),  1, 0)</f>
        <v>0</v>
      </c>
      <c r="J58" s="23" t="n">
        <f aca="false">IF(AND(J56="Y", K56="N"),  1, 0)</f>
        <v>0</v>
      </c>
      <c r="K58" s="23" t="n">
        <f aca="false">IF(AND(K56="Y", L56="N"),  1, 0)</f>
        <v>0</v>
      </c>
      <c r="L58" s="23" t="n">
        <f aca="false">IF(AND(L56="Y", M56="N"),  1, 0)</f>
        <v>0</v>
      </c>
      <c r="M58" s="23" t="n">
        <f aca="false">IF(AND(M56="Y", N56="N"),  1, 0)</f>
        <v>0</v>
      </c>
      <c r="N58" s="23" t="n">
        <f aca="false">IF(AND(N56="Y", O56="N"),  1, 0)</f>
        <v>0</v>
      </c>
      <c r="O58" s="23" t="n">
        <f aca="false">IF(AND(O56="Y", P56="N"),  1, 0)</f>
        <v>0</v>
      </c>
      <c r="P58" s="23" t="n">
        <f aca="false">IF(AND(P56="Y", Q56="N"),  1, 0)</f>
        <v>0</v>
      </c>
      <c r="Q58" s="23" t="n">
        <f aca="false">IF(AND(Q56="Y", R56="N"),  1, 0)</f>
        <v>0</v>
      </c>
      <c r="R58" s="23" t="n">
        <f aca="false">IF(AND(R56="Y", S56="N"),  1, 0)</f>
        <v>0</v>
      </c>
      <c r="S58" s="23" t="n">
        <f aca="false">IF(AND(S56="Y", T56="N"),  1, 0)</f>
        <v>0</v>
      </c>
      <c r="T58" s="23" t="n">
        <f aca="false">IF(AND(T56="Y", U56="N"),  1, 0)</f>
        <v>0</v>
      </c>
      <c r="U58" s="23" t="n">
        <f aca="false">IF(AND(U56="Y", V56="N"),  1, 0)</f>
        <v>0</v>
      </c>
      <c r="V58" s="23" t="n">
        <f aca="false">IF(AND(V56="Y", W56="N"),  1, 0)</f>
        <v>0</v>
      </c>
      <c r="W58" s="23" t="n">
        <f aca="false">IF(AND(W56="Y", X56="N"),  1, 0)</f>
        <v>0</v>
      </c>
      <c r="X58" s="23" t="n">
        <f aca="false">IF(AND(X56="Y", Y56="N"),  1, 0)</f>
        <v>1</v>
      </c>
      <c r="Y58" s="23"/>
    </row>
    <row r="60" customFormat="false" ht="12.75" hidden="false" customHeight="false" outlineLevel="0" collapsed="false">
      <c r="D60" s="23" t="s">
        <v>400</v>
      </c>
      <c r="E60" s="23" t="n">
        <f aca="false">E57*E37</f>
        <v>0.842627013630731</v>
      </c>
      <c r="F60" s="23" t="n">
        <f aca="false">F57*F37</f>
        <v>0</v>
      </c>
      <c r="G60" s="23" t="n">
        <f aca="false">G57*G37</f>
        <v>0</v>
      </c>
      <c r="H60" s="23" t="n">
        <f aca="false">H57*H37</f>
        <v>0</v>
      </c>
      <c r="I60" s="23" t="n">
        <f aca="false">I57*I37</f>
        <v>0</v>
      </c>
      <c r="J60" s="23" t="n">
        <f aca="false">J57*J37</f>
        <v>0</v>
      </c>
      <c r="K60" s="23" t="n">
        <f aca="false">K57*K37</f>
        <v>0</v>
      </c>
      <c r="L60" s="23" t="n">
        <f aca="false">L57*L37</f>
        <v>0</v>
      </c>
      <c r="M60" s="23" t="n">
        <f aca="false">M57*M37</f>
        <v>0</v>
      </c>
      <c r="N60" s="23" t="n">
        <f aca="false">N57*N37</f>
        <v>0</v>
      </c>
      <c r="O60" s="23" t="n">
        <f aca="false">O57*O37</f>
        <v>0</v>
      </c>
      <c r="P60" s="23" t="n">
        <f aca="false">P57*P37</f>
        <v>0</v>
      </c>
      <c r="Q60" s="23" t="n">
        <f aca="false">Q57*Q37</f>
        <v>0</v>
      </c>
      <c r="R60" s="23" t="n">
        <f aca="false">R57*R37</f>
        <v>0</v>
      </c>
      <c r="S60" s="23" t="n">
        <f aca="false">S57*S37</f>
        <v>0</v>
      </c>
      <c r="T60" s="23" t="n">
        <f aca="false">T57*T37</f>
        <v>0</v>
      </c>
      <c r="U60" s="23" t="n">
        <f aca="false">U57*U37</f>
        <v>0</v>
      </c>
      <c r="V60" s="23" t="n">
        <f aca="false">V57*V37</f>
        <v>0</v>
      </c>
      <c r="W60" s="23" t="n">
        <f aca="false">W57*W37</f>
        <v>0</v>
      </c>
      <c r="X60" s="23" t="n">
        <f aca="false">X57*X37</f>
        <v>0</v>
      </c>
      <c r="Y60" s="23"/>
    </row>
    <row r="61" customFormat="false" ht="12.75" hidden="false" customHeight="false" outlineLevel="0" collapsed="false">
      <c r="D61" s="23" t="s">
        <v>401</v>
      </c>
      <c r="E61" s="23" t="n">
        <f aca="false">E37*E58</f>
        <v>0</v>
      </c>
      <c r="F61" s="23" t="n">
        <f aca="false">F37*F58</f>
        <v>0</v>
      </c>
      <c r="G61" s="23" t="n">
        <f aca="false">G37*G58</f>
        <v>0</v>
      </c>
      <c r="H61" s="23" t="n">
        <f aca="false">H37*H58</f>
        <v>0</v>
      </c>
      <c r="I61" s="23" t="n">
        <f aca="false">I37*I58</f>
        <v>0</v>
      </c>
      <c r="J61" s="23" t="n">
        <f aca="false">J37*J58</f>
        <v>0</v>
      </c>
      <c r="K61" s="23" t="n">
        <f aca="false">K37*K58</f>
        <v>0</v>
      </c>
      <c r="L61" s="23" t="n">
        <f aca="false">L37*L58</f>
        <v>0</v>
      </c>
      <c r="M61" s="23" t="n">
        <f aca="false">M37*M58</f>
        <v>0</v>
      </c>
      <c r="N61" s="23" t="n">
        <f aca="false">N37*N58</f>
        <v>0</v>
      </c>
      <c r="O61" s="23" t="n">
        <f aca="false">O37*O58</f>
        <v>0</v>
      </c>
      <c r="P61" s="23" t="n">
        <f aca="false">P37*P58</f>
        <v>0</v>
      </c>
      <c r="Q61" s="23" t="n">
        <f aca="false">Q37*Q58</f>
        <v>0</v>
      </c>
      <c r="R61" s="23" t="n">
        <f aca="false">R37*R58</f>
        <v>0</v>
      </c>
      <c r="S61" s="23" t="n">
        <f aca="false">S37*S58</f>
        <v>0</v>
      </c>
      <c r="T61" s="23" t="n">
        <f aca="false">T37*T58</f>
        <v>0</v>
      </c>
      <c r="U61" s="23" t="n">
        <f aca="false">U37*U58</f>
        <v>0</v>
      </c>
      <c r="V61" s="23" t="n">
        <f aca="false">V37*V58</f>
        <v>0</v>
      </c>
      <c r="W61" s="23" t="n">
        <f aca="false">W37*W58</f>
        <v>0</v>
      </c>
      <c r="X61" s="23" t="n">
        <f aca="false">X37*X58</f>
        <v>0.1</v>
      </c>
      <c r="Y61" s="2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F72F43736E84F41BD4B3E7ABAD1B9F8" ma:contentTypeVersion="0" ma:contentTypeDescription="Create a new document." ma:contentTypeScope="" ma:versionID="6d41e9362d2f52e62f002b8bc1f10a2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E7213C-EB81-44CF-9757-6BC109954BCA}">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www.w3.org/XML/1998/namespace"/>
  </ds:schemaRefs>
</ds:datastoreItem>
</file>

<file path=customXml/itemProps2.xml><?xml version="1.0" encoding="utf-8"?>
<ds:datastoreItem xmlns:ds="http://schemas.openxmlformats.org/officeDocument/2006/customXml" ds:itemID="{0918B9AA-0A0B-42F6-9D7E-CDEF53C1FA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3B96B0A9-E706-44C7-A8F1-19DE242839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4295</TotalTime>
  <Application>LibreOffice/6.4.6.2$Linux_X86_64 LibreOffice_project/40$Build-2</Application>
  <Company>NSC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2009-04-21T16:00:33Z</dcterms:created>
  <dc:creator>Timothy Hegarty</dc:creator>
  <dc:description/>
  <dc:language>en-US</dc:language>
  <cp:lastModifiedBy/>
  <cp:lastPrinted>2013-08-26T22:42:43Z</cp:lastPrinted>
  <dcterms:modified xsi:type="dcterms:W3CDTF">2020-12-22T23:11:52Z</dcterms:modified>
  <cp:revision>3</cp:revision>
  <dc:subject/>
  <dc:title>TPS249x/8x Design Calculator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NSC</vt:lpwstr>
  </property>
  <property fmtid="{D5CDD505-2E9C-101B-9397-08002B2CF9AE}" pid="4" name="ContentTypeId">
    <vt:lpwstr>0x010100CF72F43736E84F41BD4B3E7ABAD1B9F8</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